
<file path=[Content_Types].xml><?xml version="1.0" encoding="utf-8"?>
<Types xmlns="http://schemas.openxmlformats.org/package/2006/content-types">
  <Default Extension="tmp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ashar\OneDrive - Sempra Energy\User Folders\Desktop\"/>
    </mc:Choice>
  </mc:AlternateContent>
  <bookViews>
    <workbookView xWindow="0" yWindow="72" windowWidth="19140" windowHeight="6828" activeTab="5"/>
  </bookViews>
  <sheets>
    <sheet name="CEE report" sheetId="6" r:id="rId1"/>
    <sheet name="85% TE" sheetId="7" r:id="rId2"/>
    <sheet name="96% TE" sheetId="8" r:id="rId3"/>
    <sheet name="Statewide pool avings" sheetId="1" r:id="rId4"/>
    <sheet name="Statewide spa savings" sheetId="2" r:id="rId5"/>
    <sheet name="Total savings" sheetId="3" r:id="rId6"/>
    <sheet name="RASS_Pool wt ave by SoCal zones" sheetId="4" r:id="rId7"/>
    <sheet name="RASS_Spa wt ave by SoCal zones" sheetId="5" r:id="rId8"/>
    <sheet name="pool &amp; spa sizing" sheetId="9" r:id="rId9"/>
  </sheets>
  <calcPr calcId="171027"/>
</workbook>
</file>

<file path=xl/calcChain.xml><?xml version="1.0" encoding="utf-8"?>
<calcChain xmlns="http://schemas.openxmlformats.org/spreadsheetml/2006/main">
  <c r="H20" i="8" l="1"/>
  <c r="H20" i="7"/>
  <c r="H19" i="7"/>
  <c r="E26" i="6"/>
  <c r="H22" i="7"/>
  <c r="H34" i="8" l="1"/>
  <c r="H32" i="8"/>
  <c r="H28" i="8"/>
  <c r="H22" i="8"/>
  <c r="H19" i="8"/>
  <c r="H31" i="7"/>
  <c r="H33" i="7" s="1"/>
  <c r="H27" i="7"/>
  <c r="E27" i="6"/>
  <c r="E28" i="6" s="1"/>
  <c r="E23" i="6"/>
  <c r="E24" i="6" s="1"/>
  <c r="E21" i="6"/>
  <c r="E22" i="6" s="1"/>
  <c r="H20" i="6"/>
  <c r="E18" i="6"/>
  <c r="H17" i="6"/>
  <c r="I19" i="3" l="1"/>
  <c r="E19" i="3"/>
  <c r="B39" i="2" l="1"/>
  <c r="B39" i="1"/>
  <c r="E25" i="5"/>
  <c r="F25" i="5" s="1"/>
  <c r="E25" i="4"/>
  <c r="F25" i="4" s="1"/>
  <c r="F17" i="5" l="1"/>
  <c r="F14" i="4"/>
  <c r="F21" i="5"/>
  <c r="F14" i="5"/>
  <c r="F18" i="5"/>
  <c r="F22" i="5"/>
  <c r="F15" i="5"/>
  <c r="F19" i="5"/>
  <c r="F16" i="5"/>
  <c r="F20" i="5"/>
  <c r="F18" i="4"/>
  <c r="F22" i="4"/>
  <c r="F15" i="4"/>
  <c r="F19" i="4"/>
  <c r="F16" i="4"/>
  <c r="F20" i="4"/>
  <c r="F17" i="4"/>
  <c r="F21" i="4"/>
  <c r="C39" i="2" l="1"/>
  <c r="D27" i="2"/>
  <c r="D28" i="2"/>
  <c r="D29" i="2"/>
  <c r="D30" i="2"/>
  <c r="D31" i="2"/>
  <c r="D32" i="2"/>
  <c r="D33" i="2"/>
  <c r="D34" i="2"/>
  <c r="D35" i="2"/>
  <c r="D36" i="2"/>
  <c r="D37" i="2"/>
  <c r="D26" i="2"/>
  <c r="D27" i="1"/>
  <c r="D28" i="1"/>
  <c r="D29" i="1"/>
  <c r="D30" i="1"/>
  <c r="D31" i="1"/>
  <c r="D32" i="1"/>
  <c r="D33" i="1"/>
  <c r="D34" i="1"/>
  <c r="D35" i="1"/>
  <c r="D36" i="1"/>
  <c r="D37" i="1"/>
  <c r="D26" i="1"/>
  <c r="C39" i="1"/>
  <c r="B19" i="1"/>
  <c r="B19" i="2"/>
  <c r="D39" i="2" l="1"/>
  <c r="D39" i="1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F3" i="1"/>
  <c r="F4" i="1"/>
  <c r="F5" i="1"/>
  <c r="F6" i="1"/>
  <c r="F7" i="1"/>
  <c r="H7" i="3" s="1"/>
  <c r="J7" i="3" s="1"/>
  <c r="F8" i="1"/>
  <c r="F9" i="1"/>
  <c r="F10" i="1"/>
  <c r="F11" i="1"/>
  <c r="H11" i="3" s="1"/>
  <c r="J11" i="3" s="1"/>
  <c r="F12" i="1"/>
  <c r="F13" i="1"/>
  <c r="F14" i="1"/>
  <c r="F15" i="1"/>
  <c r="H15" i="3" s="1"/>
  <c r="J15" i="3" s="1"/>
  <c r="F16" i="1"/>
  <c r="F17" i="1"/>
  <c r="F2" i="1"/>
  <c r="D3" i="1"/>
  <c r="D3" i="3" s="1"/>
  <c r="D4" i="1"/>
  <c r="D5" i="1"/>
  <c r="D6" i="1"/>
  <c r="D7" i="1"/>
  <c r="D7" i="3" s="1"/>
  <c r="F7" i="3" s="1"/>
  <c r="D8" i="1"/>
  <c r="D9" i="1"/>
  <c r="D10" i="1"/>
  <c r="D11" i="1"/>
  <c r="D12" i="1"/>
  <c r="D13" i="1"/>
  <c r="D14" i="1"/>
  <c r="D15" i="1"/>
  <c r="D15" i="3" s="1"/>
  <c r="F15" i="3" s="1"/>
  <c r="D16" i="1"/>
  <c r="D17" i="1"/>
  <c r="D2" i="1"/>
  <c r="D11" i="3" l="1"/>
  <c r="F11" i="3" s="1"/>
  <c r="H3" i="3"/>
  <c r="D4" i="3"/>
  <c r="D8" i="3"/>
  <c r="F8" i="3" s="1"/>
  <c r="D12" i="3"/>
  <c r="F12" i="3" s="1"/>
  <c r="D16" i="3"/>
  <c r="F16" i="3" s="1"/>
  <c r="H4" i="3"/>
  <c r="H8" i="3"/>
  <c r="J8" i="3" s="1"/>
  <c r="H12" i="3"/>
  <c r="J12" i="3" s="1"/>
  <c r="H16" i="3"/>
  <c r="J16" i="3" s="1"/>
  <c r="D5" i="3"/>
  <c r="D9" i="3"/>
  <c r="F9" i="3" s="1"/>
  <c r="D13" i="3"/>
  <c r="F13" i="3" s="1"/>
  <c r="D17" i="3"/>
  <c r="F17" i="3" s="1"/>
  <c r="H5" i="3"/>
  <c r="H9" i="3"/>
  <c r="J9" i="3" s="1"/>
  <c r="H13" i="3"/>
  <c r="J13" i="3" s="1"/>
  <c r="H17" i="3"/>
  <c r="J17" i="3" s="1"/>
  <c r="D2" i="3"/>
  <c r="D10" i="3"/>
  <c r="F10" i="3" s="1"/>
  <c r="D14" i="3"/>
  <c r="F14" i="3" s="1"/>
  <c r="H2" i="3"/>
  <c r="H10" i="3"/>
  <c r="J10" i="3" s="1"/>
  <c r="H14" i="3"/>
  <c r="J14" i="3" s="1"/>
  <c r="D6" i="3"/>
  <c r="F6" i="3" s="1"/>
  <c r="H6" i="3"/>
  <c r="J6" i="3" s="1"/>
  <c r="F19" i="3" l="1"/>
  <c r="J19" i="3"/>
  <c r="H19" i="3"/>
  <c r="D19" i="3"/>
</calcChain>
</file>

<file path=xl/sharedStrings.xml><?xml version="1.0" encoding="utf-8"?>
<sst xmlns="http://schemas.openxmlformats.org/spreadsheetml/2006/main" count="313" uniqueCount="168">
  <si>
    <t>Zone-1</t>
  </si>
  <si>
    <t>Zone-2</t>
  </si>
  <si>
    <t>Zone-3</t>
  </si>
  <si>
    <t>Zone-4</t>
  </si>
  <si>
    <t>Zone-5</t>
  </si>
  <si>
    <t>Zone-6</t>
  </si>
  <si>
    <t>Zone-7</t>
  </si>
  <si>
    <t>Zone-8</t>
  </si>
  <si>
    <t>Zone-9</t>
  </si>
  <si>
    <t>Zone-10</t>
  </si>
  <si>
    <t>Zone-11</t>
  </si>
  <si>
    <t>Zone-12</t>
  </si>
  <si>
    <t>Zone-13</t>
  </si>
  <si>
    <t>Zone-14</t>
  </si>
  <si>
    <t>Zone-15</t>
  </si>
  <si>
    <t>Zone-16</t>
  </si>
  <si>
    <t>Zones</t>
  </si>
  <si>
    <t>Baseline 82%</t>
  </si>
  <si>
    <t>Prop 96%</t>
  </si>
  <si>
    <t>IOU_SCG</t>
  </si>
  <si>
    <t>Saturation Report</t>
  </si>
  <si>
    <t>Report Year: 2009</t>
  </si>
  <si>
    <t>Report View: Gas Utility, Title 24 Climate Zones</t>
  </si>
  <si>
    <t>Survey Question: Fuel to heat pool  -  J4</t>
  </si>
  <si>
    <t>Report Detail: Weighted, Include No Response, Include Not-Applicable</t>
  </si>
  <si>
    <t>Filtered By: Electric Utility:PG&amp;E,SDG&amp;E,SCE,LADWP;Gas Utility:So Cal Gas;Title 24 Climate Zones:5,6,8,9,10,13,14,15,16;Building Type:Single Family;Building Age (condensed):Old (Pre 2001),New (2001-2008);</t>
  </si>
  <si>
    <t>The query returns 5,955 records, representing 2,596,672 Population. * Results represent a sample of fewer than 25 households.</t>
  </si>
  <si>
    <t>Survey Question : Fuel to heat pool  -  J4</t>
  </si>
  <si>
    <t>Gas Utility</t>
  </si>
  <si>
    <t>Title 24 Climate Zones</t>
  </si>
  <si>
    <t>POOL NOT HEATED</t>
  </si>
  <si>
    <t>NATURAL GAS</t>
  </si>
  <si>
    <t>ELECTRICITY</t>
  </si>
  <si>
    <t>HEAT PUMP</t>
  </si>
  <si>
    <t>SOLAR HEATER</t>
  </si>
  <si>
    <t>BOTTLED GAS</t>
  </si>
  <si>
    <t>OTHER</t>
  </si>
  <si>
    <t>NO RESPONSE</t>
  </si>
  <si>
    <t>NOT APPLICABLE</t>
  </si>
  <si>
    <t>Total</t>
  </si>
  <si>
    <t>So Cal Gas</t>
  </si>
  <si>
    <t>298*</t>
  </si>
  <si>
    <t>1,105*</t>
  </si>
  <si>
    <t>1,122*</t>
  </si>
  <si>
    <t>2,545*</t>
  </si>
  <si>
    <t>120*</t>
  </si>
  <si>
    <t>6,513*</t>
  </si>
  <si>
    <t>581*</t>
  </si>
  <si>
    <t>185*</t>
  </si>
  <si>
    <t>1,132*</t>
  </si>
  <si>
    <t>340*</t>
  </si>
  <si>
    <t>4,025*</t>
  </si>
  <si>
    <t>443*</t>
  </si>
  <si>
    <t>1,152*</t>
  </si>
  <si>
    <t>1,214*</t>
  </si>
  <si>
    <t>204*</t>
  </si>
  <si>
    <t>1,456*</t>
  </si>
  <si>
    <t>142*</t>
  </si>
  <si>
    <t>753*</t>
  </si>
  <si>
    <t>119*</t>
  </si>
  <si>
    <t>114*</t>
  </si>
  <si>
    <t>6,329*</t>
  </si>
  <si>
    <t>9,663*</t>
  </si>
  <si>
    <t>5,286*</t>
  </si>
  <si>
    <t>654*</t>
  </si>
  <si>
    <t>226*</t>
  </si>
  <si>
    <t>4,215*</t>
  </si>
  <si>
    <t>374*</t>
  </si>
  <si>
    <t>141*</t>
  </si>
  <si>
    <t>194*</t>
  </si>
  <si>
    <t>40*</t>
  </si>
  <si>
    <t>673*</t>
  </si>
  <si>
    <t>2,118*</t>
  </si>
  <si>
    <t>270*</t>
  </si>
  <si>
    <t>192*</t>
  </si>
  <si>
    <t>1,408*</t>
  </si>
  <si>
    <t>78*</t>
  </si>
  <si>
    <t>13,831*</t>
  </si>
  <si>
    <t>Grand Total</t>
  </si>
  <si>
    <t>Survey Question: Spa fuel  -  I2</t>
  </si>
  <si>
    <t>Survey Question : Spa fuel  -  I2</t>
  </si>
  <si>
    <t>SOLAR + ELECTRICITY</t>
  </si>
  <si>
    <t>SOLAR + NATURAL GAS</t>
  </si>
  <si>
    <t>26*</t>
  </si>
  <si>
    <t>805*</t>
  </si>
  <si>
    <t>892*</t>
  </si>
  <si>
    <t>3,681*</t>
  </si>
  <si>
    <t>314*</t>
  </si>
  <si>
    <t>1,115*</t>
  </si>
  <si>
    <t>198*</t>
  </si>
  <si>
    <t>5,089*</t>
  </si>
  <si>
    <t>176*</t>
  </si>
  <si>
    <t>616*</t>
  </si>
  <si>
    <t>3,556*</t>
  </si>
  <si>
    <t>1,306*</t>
  </si>
  <si>
    <t>11,537*</t>
  </si>
  <si>
    <t>165*</t>
  </si>
  <si>
    <t>1,403*</t>
  </si>
  <si>
    <t>3,228*</t>
  </si>
  <si>
    <t>97*</t>
  </si>
  <si>
    <t>739*</t>
  </si>
  <si>
    <t>908*</t>
  </si>
  <si>
    <t>1,441*</t>
  </si>
  <si>
    <t>Baseline 82% gas use</t>
  </si>
  <si>
    <r>
      <t xml:space="preserve">Survey Section: </t>
    </r>
    <r>
      <rPr>
        <b/>
        <sz val="11"/>
        <color theme="1"/>
        <rFont val="Calibri"/>
        <family val="2"/>
        <scheme val="minor"/>
      </rPr>
      <t>Spas and Hot Tubs</t>
    </r>
  </si>
  <si>
    <r>
      <t>Survey Section:</t>
    </r>
    <r>
      <rPr>
        <b/>
        <sz val="11"/>
        <color theme="1"/>
        <rFont val="Calibri"/>
        <family val="2"/>
        <scheme val="minor"/>
      </rPr>
      <t xml:space="preserve"> Pools</t>
    </r>
  </si>
  <si>
    <t>Savings 96%</t>
  </si>
  <si>
    <t>Savings for 96% heater</t>
  </si>
  <si>
    <t>SCG wt ave</t>
  </si>
  <si>
    <t>Averaged SCG gas use</t>
  </si>
  <si>
    <t>Wtd Average SCG 96% heater gas savings</t>
  </si>
  <si>
    <t>CEE High Efficiency Residential Swimming Pool Initiative</t>
  </si>
  <si>
    <t>from page 22 &amp; 37, under Pool Heaters (attached)</t>
  </si>
  <si>
    <t>From text</t>
  </si>
  <si>
    <t>For 78.2% eff</t>
  </si>
  <si>
    <t>(code for 1990)</t>
  </si>
  <si>
    <t>therms/yr</t>
  </si>
  <si>
    <t>for 82% eff</t>
  </si>
  <si>
    <t>(code for 2013)</t>
  </si>
  <si>
    <t>savings</t>
  </si>
  <si>
    <t>for 95% eff</t>
  </si>
  <si>
    <t>hi eff</t>
  </si>
  <si>
    <t xml:space="preserve">savings </t>
  </si>
  <si>
    <t>over 1990 code</t>
  </si>
  <si>
    <t xml:space="preserve">% savings </t>
  </si>
  <si>
    <t>text verified</t>
  </si>
  <si>
    <t>over 2013 code</t>
  </si>
  <si>
    <t>calculated</t>
  </si>
  <si>
    <t>Tier-1</t>
  </si>
  <si>
    <t>Pool/Spa savings calculation using SCG's excel tool</t>
  </si>
  <si>
    <t>Pool heater savings</t>
  </si>
  <si>
    <t>baseline heater 82%</t>
  </si>
  <si>
    <t>Spa heater savings</t>
  </si>
  <si>
    <t>RASS pool/spa heating gas usage</t>
  </si>
  <si>
    <t>Average SCG, SF gas use for pool = 222 therms/yr</t>
  </si>
  <si>
    <t>Average SCG, SF gas use for spa = 52 therms/yr</t>
  </si>
  <si>
    <t>Total average = 274 therms</t>
  </si>
  <si>
    <t>percent saved</t>
  </si>
  <si>
    <t>TOTAL gas savings for both, Pool &amp; Spa =</t>
  </si>
  <si>
    <t>Cost Estimates</t>
  </si>
  <si>
    <t>Labor to install =</t>
  </si>
  <si>
    <t>Total installed cost =</t>
  </si>
  <si>
    <t>Cost for the 400 Kbtuh 82% eff. typical heater =</t>
  </si>
  <si>
    <t xml:space="preserve">Labor to install = </t>
  </si>
  <si>
    <t>IMC cost =</t>
  </si>
  <si>
    <t>based on 230 therms/yr baseline, gas savings = 30 therms/yr</t>
  </si>
  <si>
    <t xml:space="preserve">New 96% </t>
  </si>
  <si>
    <t>Savings = 33 therms/yr</t>
  </si>
  <si>
    <t>based on 52 therms/yr baseline, gas savings = 7 therms/yr</t>
  </si>
  <si>
    <t>Savings = 8 therms/yr</t>
  </si>
  <si>
    <t>Cost for the 400 KBtuh 96% eff. Pentair heater:</t>
  </si>
  <si>
    <t>Material and Fittings =</t>
  </si>
  <si>
    <t xml:space="preserve"> needed to realign gas and plumbing connections</t>
  </si>
  <si>
    <t>From the LOCHINVAR -ENERGY RITE Pool &amp; Spa Heaters</t>
  </si>
  <si>
    <t>Savings 85%</t>
  </si>
  <si>
    <t>Prop 85%</t>
  </si>
  <si>
    <t>Savings for 85% heater</t>
  </si>
  <si>
    <t>Wtd Average SCG 85% heater gas savings</t>
  </si>
  <si>
    <t xml:space="preserve">New 85% </t>
  </si>
  <si>
    <t>based on 231 therms/yr baseline, gas savings = 8 therms/yr</t>
  </si>
  <si>
    <t>Pool heater savings for zone-09</t>
  </si>
  <si>
    <t>Spa heater savings for zone-09</t>
  </si>
  <si>
    <t>based on 53 therms/yr baseline, gas savings = 2 therms/yr</t>
  </si>
  <si>
    <t>Savings = 2 therms/yr</t>
  </si>
  <si>
    <t>for 85% eff</t>
  </si>
  <si>
    <t>for</t>
  </si>
  <si>
    <t xml:space="preserve">for </t>
  </si>
  <si>
    <t>Cost for the 400 KBtuh 85% eff. Pentair heater: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</si>
</sst>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0"/>
    <numFmt numFmtId="166" formatCode="0.00000"/>
    <numFmt numFmtId="167" formatCode="0.0%"/>
    <numFmt numFmtId="168" formatCode="0.00000000000000%"/>
    <numFmt numFmtId="169" formatCode="&quot;$&quot;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u/>
      <sz val="11"/>
      <color theme="3" tint="0.39997558519241921"/>
      <name val="Calibri"/>
      <family val="2"/>
      <scheme val="minor"/>
    </font>
    <font>
      <sz val="11.5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u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164" fontId="0" fillId="0" borderId="0" xfId="0" applyNumberFormat="1"/>
    <xf numFmtId="165" fontId="0" fillId="0" borderId="0" xfId="0" applyNumberFormat="1"/>
    <xf numFmtId="2" fontId="0" fillId="2" borderId="0" xfId="0" applyNumberFormat="1" applyFill="1"/>
    <xf numFmtId="164" fontId="0" fillId="2" borderId="0" xfId="0" applyNumberForma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Border="1" applyAlignment="1">
      <alignment horizontal="center"/>
    </xf>
    <xf numFmtId="0" fontId="0" fillId="3" borderId="0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10" fontId="0" fillId="2" borderId="0" xfId="1" applyNumberFormat="1" applyFont="1" applyFill="1" applyBorder="1"/>
    <xf numFmtId="10" fontId="0" fillId="0" borderId="0" xfId="1" applyNumberFormat="1" applyFont="1" applyBorder="1"/>
    <xf numFmtId="0" fontId="0" fillId="0" borderId="0" xfId="0" applyBorder="1"/>
    <xf numFmtId="0" fontId="0" fillId="4" borderId="0" xfId="0" applyFill="1" applyBorder="1"/>
    <xf numFmtId="3" fontId="0" fillId="4" borderId="0" xfId="0" applyNumberFormat="1" applyFill="1" applyBorder="1"/>
    <xf numFmtId="3" fontId="0" fillId="3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left"/>
    </xf>
    <xf numFmtId="3" fontId="0" fillId="0" borderId="0" xfId="0" applyNumberFormat="1"/>
    <xf numFmtId="3" fontId="0" fillId="4" borderId="0" xfId="0" applyNumberFormat="1" applyFill="1"/>
    <xf numFmtId="3" fontId="0" fillId="0" borderId="0" xfId="0" applyNumberFormat="1" applyAlignment="1">
      <alignment horizontal="left"/>
    </xf>
    <xf numFmtId="0" fontId="0" fillId="0" borderId="1" xfId="0" applyBorder="1" applyAlignment="1">
      <alignment wrapText="1"/>
    </xf>
    <xf numFmtId="0" fontId="0" fillId="5" borderId="0" xfId="0" applyFill="1"/>
    <xf numFmtId="0" fontId="0" fillId="6" borderId="0" xfId="0" applyFill="1"/>
    <xf numFmtId="164" fontId="0" fillId="6" borderId="0" xfId="0" applyNumberFormat="1" applyFill="1"/>
    <xf numFmtId="16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wrapText="1"/>
    </xf>
    <xf numFmtId="0" fontId="2" fillId="0" borderId="0" xfId="0" applyFont="1"/>
    <xf numFmtId="0" fontId="2" fillId="2" borderId="0" xfId="0" applyFont="1" applyFill="1" applyAlignment="1">
      <alignment wrapText="1"/>
    </xf>
    <xf numFmtId="0" fontId="0" fillId="8" borderId="0" xfId="0" applyFill="1"/>
    <xf numFmtId="0" fontId="0" fillId="7" borderId="1" xfId="0" applyFill="1" applyBorder="1"/>
    <xf numFmtId="0" fontId="0" fillId="7" borderId="1" xfId="0" applyFill="1" applyBorder="1" applyAlignment="1">
      <alignment wrapText="1"/>
    </xf>
    <xf numFmtId="9" fontId="0" fillId="0" borderId="0" xfId="1" applyFont="1"/>
    <xf numFmtId="164" fontId="0" fillId="0" borderId="0" xfId="0" applyNumberFormat="1" applyFill="1"/>
    <xf numFmtId="0" fontId="4" fillId="0" borderId="0" xfId="0" applyFont="1"/>
    <xf numFmtId="14" fontId="5" fillId="0" borderId="0" xfId="0" applyNumberFormat="1" applyFont="1"/>
    <xf numFmtId="0" fontId="3" fillId="0" borderId="0" xfId="0" applyFont="1"/>
    <xf numFmtId="0" fontId="6" fillId="0" borderId="0" xfId="0" applyFont="1"/>
    <xf numFmtId="0" fontId="0" fillId="0" borderId="0" xfId="0" applyAlignment="1">
      <alignment horizontal="right"/>
    </xf>
    <xf numFmtId="0" fontId="0" fillId="9" borderId="0" xfId="0" applyFill="1"/>
    <xf numFmtId="1" fontId="3" fillId="0" borderId="0" xfId="0" applyNumberFormat="1" applyFont="1"/>
    <xf numFmtId="0" fontId="0" fillId="6" borderId="0" xfId="0" applyFill="1" applyAlignment="1">
      <alignment horizontal="right"/>
    </xf>
    <xf numFmtId="9" fontId="0" fillId="0" borderId="0" xfId="1" applyNumberFormat="1" applyFont="1"/>
    <xf numFmtId="167" fontId="0" fillId="6" borderId="0" xfId="1" applyNumberFormat="1" applyFont="1" applyFill="1"/>
    <xf numFmtId="0" fontId="0" fillId="2" borderId="0" xfId="0" applyFill="1" applyAlignment="1">
      <alignment horizontal="right"/>
    </xf>
    <xf numFmtId="1" fontId="0" fillId="0" borderId="0" xfId="0" applyNumberFormat="1"/>
    <xf numFmtId="167" fontId="0" fillId="2" borderId="0" xfId="1" applyNumberFormat="1" applyFont="1" applyFill="1"/>
    <xf numFmtId="168" fontId="0" fillId="0" borderId="0" xfId="0" applyNumberFormat="1"/>
    <xf numFmtId="0" fontId="8" fillId="0" borderId="0" xfId="0" applyFont="1" applyBorder="1"/>
    <xf numFmtId="167" fontId="3" fillId="2" borderId="0" xfId="1" applyNumberFormat="1" applyFont="1" applyFill="1"/>
    <xf numFmtId="0" fontId="0" fillId="0" borderId="0" xfId="0" applyAlignment="1">
      <alignment horizontal="center"/>
    </xf>
    <xf numFmtId="0" fontId="4" fillId="2" borderId="0" xfId="0" applyFont="1" applyFill="1"/>
    <xf numFmtId="0" fontId="9" fillId="0" borderId="0" xfId="0" applyFont="1"/>
    <xf numFmtId="0" fontId="10" fillId="0" borderId="0" xfId="0" applyFont="1"/>
    <xf numFmtId="169" fontId="0" fillId="0" borderId="0" xfId="0" applyNumberFormat="1"/>
    <xf numFmtId="169" fontId="0" fillId="2" borderId="0" xfId="0" applyNumberFormat="1" applyFill="1"/>
    <xf numFmtId="167" fontId="3" fillId="6" borderId="0" xfId="1" applyNumberFormat="1" applyFont="1" applyFill="1"/>
    <xf numFmtId="167" fontId="0" fillId="0" borderId="0" xfId="1" applyNumberFormat="1" applyFont="1"/>
    <xf numFmtId="0" fontId="4" fillId="6" borderId="0" xfId="0" applyFont="1" applyFill="1"/>
    <xf numFmtId="0" fontId="11" fillId="2" borderId="0" xfId="0" applyFont="1" applyFill="1" applyBorder="1"/>
    <xf numFmtId="0" fontId="12" fillId="2" borderId="0" xfId="0" applyFont="1" applyFill="1" applyBorder="1"/>
    <xf numFmtId="0" fontId="7" fillId="0" borderId="0" xfId="0" applyFont="1" applyAlignment="1">
      <alignment horizontal="left" vertical="center" wrapText="1"/>
    </xf>
    <xf numFmtId="164" fontId="13" fillId="2" borderId="0" xfId="0" applyNumberFormat="1" applyFont="1" applyFill="1"/>
    <xf numFmtId="0" fontId="13" fillId="6" borderId="0" xfId="0" applyFont="1" applyFill="1"/>
    <xf numFmtId="0" fontId="7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tmp"/><Relationship Id="rId2" Type="http://schemas.openxmlformats.org/officeDocument/2006/relationships/image" Target="../media/image3.tmp"/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487680</xdr:colOff>
      <xdr:row>4</xdr:row>
      <xdr:rowOff>167640</xdr:rowOff>
    </xdr:from>
    <xdr:to>
      <xdr:col>10</xdr:col>
      <xdr:colOff>556811</xdr:colOff>
      <xdr:row>13</xdr:row>
      <xdr:rowOff>7755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CE74DB5A-96C1-4511-A845-DA64ADC0A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990600"/>
          <a:ext cx="6355631" cy="1554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12</xdr:col>
      <xdr:colOff>349581</xdr:colOff>
      <xdr:row>17</xdr:row>
      <xdr:rowOff>57285</xdr:rowOff>
    </xdr:to>
    <xdr:pic>
      <xdr:nvPicPr>
        <xdr:cNvPr id="2" name="Picture 1" descr="Screen Clippi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603250"/>
          <a:ext cx="6445581" cy="263538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12</xdr:col>
      <xdr:colOff>216224</xdr:colOff>
      <xdr:row>35</xdr:row>
      <xdr:rowOff>158919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" y="3365500"/>
          <a:ext cx="6312224" cy="3289469"/>
        </a:xfrm>
        <a:prstGeom prst="rect">
          <a:avLst/>
        </a:prstGeom>
      </xdr:spPr>
    </xdr:pic>
    <xdr:clientData/>
  </xdr:twoCellAnchor>
  <xdr:twoCellAnchor editAs="oneCell">
    <xdr:from>
      <xdr:col>12</xdr:col>
      <xdr:colOff>495300</xdr:colOff>
      <xdr:row>6</xdr:row>
      <xdr:rowOff>82550</xdr:rowOff>
    </xdr:from>
    <xdr:to>
      <xdr:col>15</xdr:col>
      <xdr:colOff>336636</xdr:colOff>
      <xdr:row>13</xdr:row>
      <xdr:rowOff>165170</xdr:rowOff>
    </xdr:to>
    <xdr:pic>
      <xdr:nvPicPr>
        <xdr:cNvPr id="4" name="Picture 3" descr="Screen Clippin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0" y="1238250"/>
          <a:ext cx="1670136" cy="137167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27</xdr:row>
      <xdr:rowOff>0</xdr:rowOff>
    </xdr:from>
    <xdr:to>
      <xdr:col>15</xdr:col>
      <xdr:colOff>450936</xdr:colOff>
      <xdr:row>34</xdr:row>
      <xdr:rowOff>82620</xdr:rowOff>
    </xdr:to>
    <xdr:pic>
      <xdr:nvPicPr>
        <xdr:cNvPr id="5" name="Picture 4" descr="Screen Clipping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5022850"/>
          <a:ext cx="1670136" cy="1371670"/>
        </a:xfrm>
        <a:prstGeom prst="rect">
          <a:avLst/>
        </a:prstGeom>
      </xdr:spPr>
    </xdr:pic>
    <xdr:clientData/>
  </xdr:twoCellAnchor>
  <xdr:twoCellAnchor editAs="oneCell">
    <xdr:from>
      <xdr:col>12</xdr:col>
      <xdr:colOff>400050</xdr:colOff>
      <xdr:row>27</xdr:row>
      <xdr:rowOff>0</xdr:rowOff>
    </xdr:from>
    <xdr:to>
      <xdr:col>15</xdr:col>
      <xdr:colOff>241386</xdr:colOff>
      <xdr:row>34</xdr:row>
      <xdr:rowOff>82620</xdr:rowOff>
    </xdr:to>
    <xdr:pic>
      <xdr:nvPicPr>
        <xdr:cNvPr id="6" name="Picture 5" descr="Screen Clipping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0" y="5022850"/>
          <a:ext cx="1670136" cy="1371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1"/>
  <sheetViews>
    <sheetView topLeftCell="A4" workbookViewId="0">
      <selection activeCell="N25" sqref="N25"/>
    </sheetView>
  </sheetViews>
  <sheetFormatPr defaultRowHeight="14.4" x14ac:dyDescent="0.3"/>
  <cols>
    <col min="1" max="1" width="10.88671875" customWidth="1"/>
    <col min="8" max="8" width="9.6640625" customWidth="1"/>
  </cols>
  <sheetData>
    <row r="2" spans="1:20" ht="18" x14ac:dyDescent="0.35">
      <c r="A2" s="40" t="s">
        <v>111</v>
      </c>
    </row>
    <row r="3" spans="1:20" ht="18" x14ac:dyDescent="0.35">
      <c r="A3" s="41"/>
      <c r="B3" s="42"/>
    </row>
    <row r="4" spans="1:20" x14ac:dyDescent="0.3">
      <c r="A4" s="43" t="s">
        <v>112</v>
      </c>
    </row>
    <row r="5" spans="1:20" ht="15" x14ac:dyDescent="0.3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30"/>
      <c r="S5" s="30"/>
      <c r="T5" s="30"/>
    </row>
    <row r="6" spans="1:20" ht="15" x14ac:dyDescent="0.3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30"/>
      <c r="S6" s="30"/>
      <c r="T6" s="30"/>
    </row>
    <row r="7" spans="1:20" ht="15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30"/>
      <c r="S7" s="30"/>
      <c r="T7" s="30"/>
    </row>
    <row r="8" spans="1:20" ht="15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30"/>
      <c r="S8" s="30"/>
      <c r="T8" s="30"/>
    </row>
    <row r="9" spans="1:20" ht="15" x14ac:dyDescent="0.3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30"/>
      <c r="S9" s="30"/>
      <c r="T9" s="30"/>
    </row>
    <row r="10" spans="1:20" ht="15" x14ac:dyDescent="0.3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30"/>
      <c r="S10" s="30"/>
      <c r="T10" s="30"/>
    </row>
    <row r="11" spans="1:20" ht="15" x14ac:dyDescent="0.3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30"/>
      <c r="S11" s="30"/>
      <c r="T11" s="30"/>
    </row>
    <row r="12" spans="1:20" ht="15" x14ac:dyDescent="0.3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30"/>
      <c r="S12" s="30"/>
      <c r="T12" s="30"/>
    </row>
    <row r="13" spans="1:20" ht="15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30"/>
      <c r="S13" s="30"/>
      <c r="T13" s="30"/>
    </row>
    <row r="14" spans="1:20" ht="15" x14ac:dyDescent="0.3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30"/>
      <c r="S14" s="30"/>
      <c r="T14" s="30"/>
    </row>
    <row r="15" spans="1:20" x14ac:dyDescent="0.3">
      <c r="A15" s="30" t="s">
        <v>113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</row>
    <row r="16" spans="1:20" x14ac:dyDescent="0.3">
      <c r="B16" s="44" t="s">
        <v>114</v>
      </c>
      <c r="C16" t="s">
        <v>115</v>
      </c>
      <c r="E16">
        <v>341</v>
      </c>
      <c r="F16" t="s">
        <v>116</v>
      </c>
    </row>
    <row r="17" spans="2:8" x14ac:dyDescent="0.3">
      <c r="B17" s="44" t="s">
        <v>117</v>
      </c>
      <c r="C17" t="s">
        <v>118</v>
      </c>
      <c r="E17" s="45">
        <v>325</v>
      </c>
      <c r="F17" t="s">
        <v>116</v>
      </c>
      <c r="H17" s="46">
        <f>E16*78.2/82</f>
        <v>325.19756097560975</v>
      </c>
    </row>
    <row r="18" spans="2:8" x14ac:dyDescent="0.3">
      <c r="B18" s="44" t="s">
        <v>119</v>
      </c>
      <c r="E18">
        <f>E16-E17</f>
        <v>16</v>
      </c>
      <c r="F18" t="s">
        <v>116</v>
      </c>
    </row>
    <row r="19" spans="2:8" x14ac:dyDescent="0.3">
      <c r="B19" s="44"/>
    </row>
    <row r="20" spans="2:8" x14ac:dyDescent="0.3">
      <c r="B20" s="47" t="s">
        <v>120</v>
      </c>
      <c r="C20" t="s">
        <v>121</v>
      </c>
      <c r="E20">
        <v>278</v>
      </c>
      <c r="F20" t="s">
        <v>116</v>
      </c>
      <c r="H20" s="46">
        <f>E16*78.2/95</f>
        <v>280.69684210526316</v>
      </c>
    </row>
    <row r="21" spans="2:8" x14ac:dyDescent="0.3">
      <c r="B21" s="44" t="s">
        <v>122</v>
      </c>
      <c r="C21" t="s">
        <v>123</v>
      </c>
      <c r="E21">
        <f>E16-E20</f>
        <v>63</v>
      </c>
      <c r="F21" t="s">
        <v>116</v>
      </c>
    </row>
    <row r="22" spans="2:8" x14ac:dyDescent="0.3">
      <c r="B22" s="44" t="s">
        <v>124</v>
      </c>
      <c r="C22" t="s">
        <v>123</v>
      </c>
      <c r="E22" s="48">
        <f>E21/E16</f>
        <v>0.18475073313782991</v>
      </c>
      <c r="F22" s="42" t="s">
        <v>125</v>
      </c>
    </row>
    <row r="23" spans="2:8" x14ac:dyDescent="0.3">
      <c r="B23" s="44" t="s">
        <v>122</v>
      </c>
      <c r="C23" t="s">
        <v>126</v>
      </c>
      <c r="E23">
        <f>E17-E20</f>
        <v>47</v>
      </c>
      <c r="F23" t="s">
        <v>116</v>
      </c>
    </row>
    <row r="24" spans="2:8" x14ac:dyDescent="0.3">
      <c r="B24" s="44" t="s">
        <v>124</v>
      </c>
      <c r="C24" t="s">
        <v>126</v>
      </c>
      <c r="E24" s="49">
        <f>E23/E17</f>
        <v>0.14461538461538462</v>
      </c>
      <c r="F24" s="42" t="s">
        <v>127</v>
      </c>
    </row>
    <row r="26" spans="2:8" x14ac:dyDescent="0.3">
      <c r="B26" s="50" t="s">
        <v>164</v>
      </c>
      <c r="C26" t="s">
        <v>128</v>
      </c>
      <c r="E26" s="51">
        <f>E16*78.2/85</f>
        <v>313.72000000000003</v>
      </c>
      <c r="F26" t="s">
        <v>116</v>
      </c>
    </row>
    <row r="27" spans="2:8" x14ac:dyDescent="0.3">
      <c r="B27" s="44" t="s">
        <v>122</v>
      </c>
      <c r="C27" t="s">
        <v>126</v>
      </c>
      <c r="E27" s="51">
        <f>E17-E26</f>
        <v>11.279999999999973</v>
      </c>
      <c r="F27" t="s">
        <v>116</v>
      </c>
    </row>
    <row r="28" spans="2:8" x14ac:dyDescent="0.3">
      <c r="B28" s="44" t="s">
        <v>124</v>
      </c>
      <c r="C28" t="s">
        <v>126</v>
      </c>
      <c r="E28" s="52">
        <f>E27/E17</f>
        <v>3.4707692307692224E-2</v>
      </c>
      <c r="F28" s="42" t="s">
        <v>127</v>
      </c>
    </row>
    <row r="31" spans="2:8" x14ac:dyDescent="0.3">
      <c r="H31" s="53"/>
    </row>
  </sheetData>
  <mergeCells count="1">
    <mergeCell ref="A5:Q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topLeftCell="A7" workbookViewId="0">
      <selection activeCell="Q22" sqref="Q22"/>
    </sheetView>
  </sheetViews>
  <sheetFormatPr defaultRowHeight="14.4" x14ac:dyDescent="0.3"/>
  <cols>
    <col min="1" max="1" width="2.77734375" customWidth="1"/>
  </cols>
  <sheetData>
    <row r="1" spans="2:8" ht="21" x14ac:dyDescent="0.4">
      <c r="B1" s="54" t="s">
        <v>129</v>
      </c>
    </row>
    <row r="2" spans="2:8" ht="13.95" customHeight="1" x14ac:dyDescent="0.3"/>
    <row r="4" spans="2:8" x14ac:dyDescent="0.3">
      <c r="C4" t="s">
        <v>160</v>
      </c>
      <c r="H4" t="s">
        <v>159</v>
      </c>
    </row>
    <row r="5" spans="2:8" x14ac:dyDescent="0.3">
      <c r="H5" t="s">
        <v>131</v>
      </c>
    </row>
    <row r="6" spans="2:8" x14ac:dyDescent="0.3">
      <c r="H6" s="6" t="s">
        <v>158</v>
      </c>
    </row>
    <row r="7" spans="2:8" x14ac:dyDescent="0.3">
      <c r="H7" t="s">
        <v>149</v>
      </c>
    </row>
    <row r="8" spans="2:8" ht="12.45" customHeight="1" x14ac:dyDescent="0.3"/>
    <row r="10" spans="2:8" x14ac:dyDescent="0.3">
      <c r="C10" t="s">
        <v>161</v>
      </c>
      <c r="H10" t="s">
        <v>162</v>
      </c>
    </row>
    <row r="11" spans="2:8" x14ac:dyDescent="0.3">
      <c r="H11" t="s">
        <v>131</v>
      </c>
    </row>
    <row r="12" spans="2:8" x14ac:dyDescent="0.3">
      <c r="H12" s="6" t="s">
        <v>158</v>
      </c>
    </row>
    <row r="13" spans="2:8" x14ac:dyDescent="0.3">
      <c r="H13" t="s">
        <v>163</v>
      </c>
    </row>
    <row r="14" spans="2:8" ht="9" customHeight="1" x14ac:dyDescent="0.3"/>
    <row r="16" spans="2:8" x14ac:dyDescent="0.3">
      <c r="C16" t="s">
        <v>133</v>
      </c>
      <c r="H16" t="s">
        <v>134</v>
      </c>
    </row>
    <row r="17" spans="3:9" x14ac:dyDescent="0.3">
      <c r="H17" t="s">
        <v>135</v>
      </c>
    </row>
    <row r="18" spans="3:9" x14ac:dyDescent="0.3">
      <c r="H18" t="s">
        <v>136</v>
      </c>
    </row>
    <row r="19" spans="3:9" x14ac:dyDescent="0.3">
      <c r="G19" s="56" t="s">
        <v>165</v>
      </c>
      <c r="H19" s="55">
        <f>(8+2)/274</f>
        <v>3.6496350364963501E-2</v>
      </c>
      <c r="I19" s="42" t="s">
        <v>137</v>
      </c>
    </row>
    <row r="20" spans="3:9" ht="15.6" x14ac:dyDescent="0.3">
      <c r="G20" s="56"/>
      <c r="H20" s="68">
        <f>274*0.036</f>
        <v>9.863999999999999</v>
      </c>
      <c r="I20" t="s">
        <v>116</v>
      </c>
    </row>
    <row r="22" spans="3:9" ht="18" x14ac:dyDescent="0.35">
      <c r="E22" s="56" t="s">
        <v>138</v>
      </c>
      <c r="H22" s="57">
        <f>8+2</f>
        <v>10</v>
      </c>
      <c r="I22" t="s">
        <v>116</v>
      </c>
    </row>
    <row r="24" spans="3:9" x14ac:dyDescent="0.3">
      <c r="C24" s="58" t="s">
        <v>139</v>
      </c>
    </row>
    <row r="25" spans="3:9" x14ac:dyDescent="0.3">
      <c r="C25" s="59" t="s">
        <v>167</v>
      </c>
      <c r="H25" s="60">
        <v>3200</v>
      </c>
    </row>
    <row r="26" spans="3:9" x14ac:dyDescent="0.3">
      <c r="C26" t="s">
        <v>140</v>
      </c>
      <c r="H26" s="60">
        <v>800</v>
      </c>
    </row>
    <row r="27" spans="3:9" x14ac:dyDescent="0.3">
      <c r="C27" t="s">
        <v>141</v>
      </c>
      <c r="H27" s="61">
        <f>H25+H26</f>
        <v>4000</v>
      </c>
    </row>
    <row r="28" spans="3:9" x14ac:dyDescent="0.3">
      <c r="H28" s="60"/>
    </row>
    <row r="29" spans="3:9" x14ac:dyDescent="0.3">
      <c r="C29" s="59" t="s">
        <v>142</v>
      </c>
      <c r="H29" s="60">
        <v>2200</v>
      </c>
    </row>
    <row r="30" spans="3:9" x14ac:dyDescent="0.3">
      <c r="C30" t="s">
        <v>143</v>
      </c>
      <c r="H30" s="60">
        <v>800</v>
      </c>
    </row>
    <row r="31" spans="3:9" x14ac:dyDescent="0.3">
      <c r="C31" t="s">
        <v>141</v>
      </c>
      <c r="H31" s="61">
        <f>H29+H30</f>
        <v>3000</v>
      </c>
    </row>
    <row r="32" spans="3:9" x14ac:dyDescent="0.3">
      <c r="H32" s="60"/>
    </row>
    <row r="33" spans="3:8" x14ac:dyDescent="0.3">
      <c r="C33" t="s">
        <v>144</v>
      </c>
      <c r="H33" s="60">
        <f>H27-H31</f>
        <v>1000</v>
      </c>
    </row>
    <row r="34" spans="3:8" x14ac:dyDescent="0.3">
      <c r="H34" s="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workbookViewId="0">
      <selection activeCell="O28" sqref="O28"/>
    </sheetView>
  </sheetViews>
  <sheetFormatPr defaultRowHeight="14.4" x14ac:dyDescent="0.3"/>
  <cols>
    <col min="1" max="1" width="2.77734375" customWidth="1"/>
  </cols>
  <sheetData>
    <row r="1" spans="2:8" ht="21" x14ac:dyDescent="0.4">
      <c r="B1" s="54" t="s">
        <v>129</v>
      </c>
    </row>
    <row r="2" spans="2:8" ht="13.95" customHeight="1" x14ac:dyDescent="0.3"/>
    <row r="4" spans="2:8" x14ac:dyDescent="0.3">
      <c r="C4" t="s">
        <v>130</v>
      </c>
      <c r="H4" t="s">
        <v>145</v>
      </c>
    </row>
    <row r="5" spans="2:8" x14ac:dyDescent="0.3">
      <c r="H5" t="s">
        <v>131</v>
      </c>
    </row>
    <row r="6" spans="2:8" x14ac:dyDescent="0.3">
      <c r="H6" s="6" t="s">
        <v>146</v>
      </c>
    </row>
    <row r="7" spans="2:8" x14ac:dyDescent="0.3">
      <c r="H7" t="s">
        <v>147</v>
      </c>
    </row>
    <row r="8" spans="2:8" ht="12.45" customHeight="1" x14ac:dyDescent="0.3"/>
    <row r="10" spans="2:8" x14ac:dyDescent="0.3">
      <c r="C10" t="s">
        <v>132</v>
      </c>
      <c r="H10" t="s">
        <v>148</v>
      </c>
    </row>
    <row r="11" spans="2:8" x14ac:dyDescent="0.3">
      <c r="H11" t="s">
        <v>131</v>
      </c>
    </row>
    <row r="12" spans="2:8" x14ac:dyDescent="0.3">
      <c r="H12" s="6" t="s">
        <v>146</v>
      </c>
    </row>
    <row r="13" spans="2:8" x14ac:dyDescent="0.3">
      <c r="H13" t="s">
        <v>149</v>
      </c>
    </row>
    <row r="14" spans="2:8" ht="9" customHeight="1" x14ac:dyDescent="0.3"/>
    <row r="16" spans="2:8" x14ac:dyDescent="0.3">
      <c r="C16" t="s">
        <v>133</v>
      </c>
      <c r="H16" t="s">
        <v>134</v>
      </c>
    </row>
    <row r="17" spans="3:12" x14ac:dyDescent="0.3">
      <c r="H17" t="s">
        <v>135</v>
      </c>
    </row>
    <row r="18" spans="3:12" x14ac:dyDescent="0.3">
      <c r="H18" t="s">
        <v>136</v>
      </c>
    </row>
    <row r="19" spans="3:12" x14ac:dyDescent="0.3">
      <c r="G19" t="s">
        <v>166</v>
      </c>
      <c r="H19" s="62">
        <f>(33+8)/274</f>
        <v>0.14963503649635038</v>
      </c>
      <c r="I19" s="42" t="s">
        <v>137</v>
      </c>
    </row>
    <row r="20" spans="3:12" ht="15.6" x14ac:dyDescent="0.3">
      <c r="H20" s="69">
        <f>274*0.15</f>
        <v>41.1</v>
      </c>
      <c r="I20" t="s">
        <v>116</v>
      </c>
    </row>
    <row r="21" spans="3:12" x14ac:dyDescent="0.3">
      <c r="L21" s="63"/>
    </row>
    <row r="22" spans="3:12" ht="18" x14ac:dyDescent="0.35">
      <c r="E22" s="56" t="s">
        <v>138</v>
      </c>
      <c r="H22" s="64">
        <f>33+8</f>
        <v>41</v>
      </c>
      <c r="I22" t="s">
        <v>116</v>
      </c>
    </row>
    <row r="24" spans="3:12" x14ac:dyDescent="0.3">
      <c r="C24" s="58" t="s">
        <v>139</v>
      </c>
    </row>
    <row r="25" spans="3:12" x14ac:dyDescent="0.3">
      <c r="C25" s="59" t="s">
        <v>150</v>
      </c>
      <c r="H25" s="60">
        <v>6500</v>
      </c>
    </row>
    <row r="26" spans="3:12" x14ac:dyDescent="0.3">
      <c r="C26" t="s">
        <v>140</v>
      </c>
      <c r="H26" s="60">
        <v>900</v>
      </c>
    </row>
    <row r="27" spans="3:12" x14ac:dyDescent="0.3">
      <c r="C27" t="s">
        <v>151</v>
      </c>
      <c r="H27" s="60">
        <v>200</v>
      </c>
      <c r="I27" s="59" t="s">
        <v>152</v>
      </c>
    </row>
    <row r="28" spans="3:12" x14ac:dyDescent="0.3">
      <c r="C28" t="s">
        <v>141</v>
      </c>
      <c r="H28" s="61">
        <f>H25+H26+H27</f>
        <v>7600</v>
      </c>
    </row>
    <row r="29" spans="3:12" x14ac:dyDescent="0.3">
      <c r="H29" s="60"/>
    </row>
    <row r="30" spans="3:12" x14ac:dyDescent="0.3">
      <c r="C30" s="59" t="s">
        <v>142</v>
      </c>
      <c r="H30" s="60">
        <v>2200</v>
      </c>
    </row>
    <row r="31" spans="3:12" x14ac:dyDescent="0.3">
      <c r="C31" t="s">
        <v>143</v>
      </c>
      <c r="H31" s="60">
        <v>800</v>
      </c>
    </row>
    <row r="32" spans="3:12" x14ac:dyDescent="0.3">
      <c r="C32" t="s">
        <v>141</v>
      </c>
      <c r="H32" s="61">
        <f>H30+H31</f>
        <v>3000</v>
      </c>
    </row>
    <row r="33" spans="3:8" x14ac:dyDescent="0.3">
      <c r="H33" s="60"/>
    </row>
    <row r="34" spans="3:8" x14ac:dyDescent="0.3">
      <c r="C34" t="s">
        <v>144</v>
      </c>
      <c r="H34" s="60">
        <f>H28-H32</f>
        <v>4600</v>
      </c>
    </row>
    <row r="35" spans="3:8" x14ac:dyDescent="0.3">
      <c r="H35" s="6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9"/>
  <sheetViews>
    <sheetView topLeftCell="A4" workbookViewId="0">
      <selection activeCell="K15" sqref="K15"/>
    </sheetView>
  </sheetViews>
  <sheetFormatPr defaultRowHeight="14.4" x14ac:dyDescent="0.3"/>
  <cols>
    <col min="2" max="2" width="11.6640625" bestFit="1" customWidth="1"/>
    <col min="4" max="4" width="11.109375" customWidth="1"/>
    <col min="6" max="6" width="10.88671875" customWidth="1"/>
  </cols>
  <sheetData>
    <row r="1" spans="1:6" ht="31.95" customHeight="1" thickBot="1" x14ac:dyDescent="0.35">
      <c r="A1" s="1" t="s">
        <v>16</v>
      </c>
      <c r="B1" s="1" t="s">
        <v>17</v>
      </c>
      <c r="C1" s="1" t="s">
        <v>155</v>
      </c>
      <c r="D1" s="36" t="s">
        <v>154</v>
      </c>
      <c r="E1" s="1" t="s">
        <v>18</v>
      </c>
      <c r="F1" s="36" t="s">
        <v>106</v>
      </c>
    </row>
    <row r="2" spans="1:6" x14ac:dyDescent="0.3">
      <c r="A2" t="s">
        <v>0</v>
      </c>
      <c r="B2">
        <v>890</v>
      </c>
      <c r="C2">
        <v>858</v>
      </c>
      <c r="D2">
        <f>B2-C2</f>
        <v>32</v>
      </c>
      <c r="E2">
        <v>760</v>
      </c>
      <c r="F2">
        <f>B2-E2</f>
        <v>130</v>
      </c>
    </row>
    <row r="3" spans="1:6" x14ac:dyDescent="0.3">
      <c r="A3" t="s">
        <v>1</v>
      </c>
      <c r="B3">
        <v>390</v>
      </c>
      <c r="C3">
        <v>376</v>
      </c>
      <c r="D3">
        <f t="shared" ref="D3:D17" si="0">B3-C3</f>
        <v>14</v>
      </c>
      <c r="E3">
        <v>333</v>
      </c>
      <c r="F3">
        <f t="shared" ref="F3:F17" si="1">B3-E3</f>
        <v>57</v>
      </c>
    </row>
    <row r="4" spans="1:6" x14ac:dyDescent="0.3">
      <c r="A4" t="s">
        <v>2</v>
      </c>
      <c r="B4">
        <v>678</v>
      </c>
      <c r="C4">
        <v>654</v>
      </c>
      <c r="D4">
        <f t="shared" si="0"/>
        <v>24</v>
      </c>
      <c r="E4">
        <v>580</v>
      </c>
      <c r="F4">
        <f t="shared" si="1"/>
        <v>98</v>
      </c>
    </row>
    <row r="5" spans="1:6" x14ac:dyDescent="0.3">
      <c r="A5" t="s">
        <v>3</v>
      </c>
      <c r="B5">
        <v>189</v>
      </c>
      <c r="C5">
        <v>182</v>
      </c>
      <c r="D5">
        <f t="shared" si="0"/>
        <v>7</v>
      </c>
      <c r="E5">
        <v>161</v>
      </c>
      <c r="F5">
        <f t="shared" si="1"/>
        <v>28</v>
      </c>
    </row>
    <row r="6" spans="1:6" x14ac:dyDescent="0.3">
      <c r="A6" s="6" t="s">
        <v>4</v>
      </c>
      <c r="B6" s="6">
        <v>502</v>
      </c>
      <c r="C6" s="6">
        <v>484</v>
      </c>
      <c r="D6" s="6">
        <f t="shared" si="0"/>
        <v>18</v>
      </c>
      <c r="E6" s="6">
        <v>428</v>
      </c>
      <c r="F6" s="6">
        <f t="shared" si="1"/>
        <v>74</v>
      </c>
    </row>
    <row r="7" spans="1:6" x14ac:dyDescent="0.3">
      <c r="A7" s="6" t="s">
        <v>5</v>
      </c>
      <c r="B7" s="6">
        <v>312</v>
      </c>
      <c r="C7" s="6">
        <v>301</v>
      </c>
      <c r="D7" s="6">
        <f t="shared" si="0"/>
        <v>11</v>
      </c>
      <c r="E7" s="6">
        <v>267</v>
      </c>
      <c r="F7" s="6">
        <f t="shared" si="1"/>
        <v>45</v>
      </c>
    </row>
    <row r="8" spans="1:6" x14ac:dyDescent="0.3">
      <c r="A8" t="s">
        <v>6</v>
      </c>
      <c r="B8">
        <v>330</v>
      </c>
      <c r="C8">
        <v>318</v>
      </c>
      <c r="D8">
        <f t="shared" si="0"/>
        <v>12</v>
      </c>
      <c r="E8">
        <v>282</v>
      </c>
      <c r="F8">
        <f t="shared" si="1"/>
        <v>48</v>
      </c>
    </row>
    <row r="9" spans="1:6" x14ac:dyDescent="0.3">
      <c r="A9" s="6" t="s">
        <v>7</v>
      </c>
      <c r="B9" s="6">
        <v>166</v>
      </c>
      <c r="C9" s="6">
        <v>160</v>
      </c>
      <c r="D9" s="6">
        <f t="shared" si="0"/>
        <v>6</v>
      </c>
      <c r="E9" s="6">
        <v>142</v>
      </c>
      <c r="F9" s="6">
        <f t="shared" si="1"/>
        <v>24</v>
      </c>
    </row>
    <row r="10" spans="1:6" x14ac:dyDescent="0.3">
      <c r="A10" s="6" t="s">
        <v>8</v>
      </c>
      <c r="B10" s="6">
        <v>231</v>
      </c>
      <c r="C10" s="6">
        <v>223</v>
      </c>
      <c r="D10" s="6">
        <f t="shared" si="0"/>
        <v>8</v>
      </c>
      <c r="E10" s="6">
        <v>198</v>
      </c>
      <c r="F10" s="6">
        <f t="shared" si="1"/>
        <v>33</v>
      </c>
    </row>
    <row r="11" spans="1:6" x14ac:dyDescent="0.3">
      <c r="A11" s="6" t="s">
        <v>9</v>
      </c>
      <c r="B11" s="6">
        <v>212</v>
      </c>
      <c r="C11" s="6">
        <v>204</v>
      </c>
      <c r="D11" s="6">
        <f t="shared" si="0"/>
        <v>8</v>
      </c>
      <c r="E11" s="6">
        <v>181</v>
      </c>
      <c r="F11" s="6">
        <f t="shared" si="1"/>
        <v>31</v>
      </c>
    </row>
    <row r="12" spans="1:6" x14ac:dyDescent="0.3">
      <c r="A12" t="s">
        <v>10</v>
      </c>
      <c r="B12">
        <v>393</v>
      </c>
      <c r="C12">
        <v>380</v>
      </c>
      <c r="D12">
        <f t="shared" si="0"/>
        <v>13</v>
      </c>
      <c r="E12">
        <v>336</v>
      </c>
      <c r="F12">
        <f t="shared" si="1"/>
        <v>57</v>
      </c>
    </row>
    <row r="13" spans="1:6" x14ac:dyDescent="0.3">
      <c r="A13" t="s">
        <v>11</v>
      </c>
      <c r="B13">
        <v>304</v>
      </c>
      <c r="C13">
        <v>293</v>
      </c>
      <c r="D13">
        <f t="shared" si="0"/>
        <v>11</v>
      </c>
      <c r="E13">
        <v>260</v>
      </c>
      <c r="F13">
        <f t="shared" si="1"/>
        <v>44</v>
      </c>
    </row>
    <row r="14" spans="1:6" x14ac:dyDescent="0.3">
      <c r="A14" s="6" t="s">
        <v>12</v>
      </c>
      <c r="B14" s="6">
        <v>152</v>
      </c>
      <c r="C14" s="6">
        <v>147</v>
      </c>
      <c r="D14" s="6">
        <f t="shared" si="0"/>
        <v>5</v>
      </c>
      <c r="E14" s="6">
        <v>130</v>
      </c>
      <c r="F14" s="6">
        <f t="shared" si="1"/>
        <v>22</v>
      </c>
    </row>
    <row r="15" spans="1:6" x14ac:dyDescent="0.3">
      <c r="A15" s="6" t="s">
        <v>13</v>
      </c>
      <c r="B15" s="6">
        <v>489</v>
      </c>
      <c r="C15" s="6">
        <v>471</v>
      </c>
      <c r="D15" s="6">
        <f t="shared" si="0"/>
        <v>18</v>
      </c>
      <c r="E15" s="6">
        <v>417</v>
      </c>
      <c r="F15" s="6">
        <f t="shared" si="1"/>
        <v>72</v>
      </c>
    </row>
    <row r="16" spans="1:6" x14ac:dyDescent="0.3">
      <c r="A16" s="6" t="s">
        <v>14</v>
      </c>
      <c r="B16" s="6">
        <v>123</v>
      </c>
      <c r="C16" s="6">
        <v>119</v>
      </c>
      <c r="D16" s="6">
        <f t="shared" si="0"/>
        <v>4</v>
      </c>
      <c r="E16" s="6">
        <v>105</v>
      </c>
      <c r="F16" s="6">
        <f t="shared" si="1"/>
        <v>18</v>
      </c>
    </row>
    <row r="17" spans="1:6" x14ac:dyDescent="0.3">
      <c r="A17" s="6" t="s">
        <v>15</v>
      </c>
      <c r="B17" s="6">
        <v>698</v>
      </c>
      <c r="C17" s="6">
        <v>674</v>
      </c>
      <c r="D17" s="6">
        <f t="shared" si="0"/>
        <v>24</v>
      </c>
      <c r="E17" s="6">
        <v>597</v>
      </c>
      <c r="F17" s="6">
        <f t="shared" si="1"/>
        <v>101</v>
      </c>
    </row>
    <row r="18" spans="1:6" ht="8.5500000000000007" customHeight="1" x14ac:dyDescent="0.3"/>
    <row r="19" spans="1:6" x14ac:dyDescent="0.3">
      <c r="A19" t="s">
        <v>19</v>
      </c>
      <c r="B19" s="2">
        <f>AVERAGE($B$6,$B$7,$B$9:$B$11,$B$14:$B$17)</f>
        <v>320.55555555555554</v>
      </c>
    </row>
    <row r="21" spans="1:6" ht="29.4" thickBot="1" x14ac:dyDescent="0.35">
      <c r="A21" s="1" t="s">
        <v>16</v>
      </c>
      <c r="B21" s="24" t="s">
        <v>103</v>
      </c>
      <c r="C21" s="24" t="s">
        <v>108</v>
      </c>
      <c r="D21" s="24" t="s">
        <v>109</v>
      </c>
    </row>
    <row r="22" spans="1:6" x14ac:dyDescent="0.3">
      <c r="A22" t="s">
        <v>0</v>
      </c>
      <c r="B22">
        <v>890</v>
      </c>
    </row>
    <row r="23" spans="1:6" x14ac:dyDescent="0.3">
      <c r="A23" t="s">
        <v>1</v>
      </c>
      <c r="B23">
        <v>390</v>
      </c>
    </row>
    <row r="24" spans="1:6" x14ac:dyDescent="0.3">
      <c r="A24" t="s">
        <v>2</v>
      </c>
      <c r="B24">
        <v>678</v>
      </c>
    </row>
    <row r="25" spans="1:6" x14ac:dyDescent="0.3">
      <c r="A25" t="s">
        <v>3</v>
      </c>
      <c r="B25">
        <v>189</v>
      </c>
    </row>
    <row r="26" spans="1:6" x14ac:dyDescent="0.3">
      <c r="A26" s="6" t="s">
        <v>4</v>
      </c>
      <c r="B26" s="6">
        <v>502</v>
      </c>
      <c r="C26" s="28">
        <v>2.41766081407792E-3</v>
      </c>
      <c r="D26" s="3">
        <f>B26*C26</f>
        <v>1.2136657286671158</v>
      </c>
    </row>
    <row r="27" spans="1:6" x14ac:dyDescent="0.3">
      <c r="A27" s="6" t="s">
        <v>5</v>
      </c>
      <c r="B27" s="6">
        <v>312</v>
      </c>
      <c r="C27" s="28">
        <v>0.18402846586430274</v>
      </c>
      <c r="D27" s="3">
        <f t="shared" ref="D27:D37" si="2">B27*C27</f>
        <v>57.416881349662454</v>
      </c>
    </row>
    <row r="28" spans="1:6" x14ac:dyDescent="0.3">
      <c r="A28" t="s">
        <v>6</v>
      </c>
      <c r="B28">
        <v>330</v>
      </c>
      <c r="C28" s="28"/>
      <c r="D28" s="3">
        <f t="shared" si="2"/>
        <v>0</v>
      </c>
    </row>
    <row r="29" spans="1:6" x14ac:dyDescent="0.3">
      <c r="A29" s="6" t="s">
        <v>7</v>
      </c>
      <c r="B29" s="6">
        <v>166</v>
      </c>
      <c r="C29" s="28">
        <v>0.13368475288335777</v>
      </c>
      <c r="D29" s="3">
        <f t="shared" si="2"/>
        <v>22.191668978637388</v>
      </c>
    </row>
    <row r="30" spans="1:6" x14ac:dyDescent="0.3">
      <c r="A30" s="6" t="s">
        <v>8</v>
      </c>
      <c r="B30" s="6">
        <v>231</v>
      </c>
      <c r="C30" s="28">
        <v>0.33928720841645421</v>
      </c>
      <c r="D30" s="3">
        <f t="shared" si="2"/>
        <v>78.375345144200921</v>
      </c>
    </row>
    <row r="31" spans="1:6" x14ac:dyDescent="0.3">
      <c r="A31" s="6" t="s">
        <v>9</v>
      </c>
      <c r="B31" s="6">
        <v>212</v>
      </c>
      <c r="C31" s="28">
        <v>0.1828130298266242</v>
      </c>
      <c r="D31" s="3">
        <f t="shared" si="2"/>
        <v>38.756362323244332</v>
      </c>
    </row>
    <row r="32" spans="1:6" x14ac:dyDescent="0.3">
      <c r="A32" t="s">
        <v>10</v>
      </c>
      <c r="B32">
        <v>393</v>
      </c>
      <c r="C32" s="28"/>
      <c r="D32" s="3">
        <f t="shared" si="2"/>
        <v>0</v>
      </c>
    </row>
    <row r="33" spans="1:4" x14ac:dyDescent="0.3">
      <c r="A33" t="s">
        <v>11</v>
      </c>
      <c r="B33">
        <v>304</v>
      </c>
      <c r="C33" s="28"/>
      <c r="D33" s="3">
        <f t="shared" si="2"/>
        <v>0</v>
      </c>
    </row>
    <row r="34" spans="1:4" x14ac:dyDescent="0.3">
      <c r="A34" s="6" t="s">
        <v>12</v>
      </c>
      <c r="B34" s="6">
        <v>152</v>
      </c>
      <c r="C34" s="28">
        <v>2.7836127515093866E-2</v>
      </c>
      <c r="D34" s="3">
        <f t="shared" si="2"/>
        <v>4.2310913822942675</v>
      </c>
    </row>
    <row r="35" spans="1:4" x14ac:dyDescent="0.3">
      <c r="A35" s="6" t="s">
        <v>13</v>
      </c>
      <c r="B35" s="6">
        <v>489</v>
      </c>
      <c r="C35" s="28">
        <v>4.9352868385011385E-2</v>
      </c>
      <c r="D35" s="3">
        <f t="shared" si="2"/>
        <v>24.133552640270569</v>
      </c>
    </row>
    <row r="36" spans="1:4" x14ac:dyDescent="0.3">
      <c r="A36" s="6" t="s">
        <v>14</v>
      </c>
      <c r="B36" s="6">
        <v>123</v>
      </c>
      <c r="C36" s="28">
        <v>6.6421817957627083E-2</v>
      </c>
      <c r="D36" s="3">
        <f t="shared" si="2"/>
        <v>8.1698836087881315</v>
      </c>
    </row>
    <row r="37" spans="1:4" x14ac:dyDescent="0.3">
      <c r="A37" s="6" t="s">
        <v>15</v>
      </c>
      <c r="B37" s="6">
        <v>698</v>
      </c>
      <c r="C37" s="28">
        <v>1.4158068337450843E-2</v>
      </c>
      <c r="D37" s="3">
        <f t="shared" si="2"/>
        <v>9.8823316995406874</v>
      </c>
    </row>
    <row r="39" spans="1:4" x14ac:dyDescent="0.3">
      <c r="A39" t="s">
        <v>19</v>
      </c>
      <c r="B39" s="2">
        <f>AVERAGE($B$6:$B$7,$B$9:$B$11,$B$14:$B$17)</f>
        <v>320.55555555555554</v>
      </c>
      <c r="C39" s="38">
        <f>SUM(C26:C37)</f>
        <v>1.0000000000000002</v>
      </c>
      <c r="D39" s="4">
        <f>SUM(D26:D37)</f>
        <v>244.37078285530589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F39"/>
  <sheetViews>
    <sheetView workbookViewId="0">
      <selection activeCell="H21" sqref="H21"/>
    </sheetView>
  </sheetViews>
  <sheetFormatPr defaultRowHeight="14.4" x14ac:dyDescent="0.3"/>
  <cols>
    <col min="2" max="2" width="11.6640625" bestFit="1" customWidth="1"/>
    <col min="4" max="4" width="11.44140625" customWidth="1"/>
    <col min="6" max="6" width="10.88671875" customWidth="1"/>
  </cols>
  <sheetData>
    <row r="1" spans="1:6" ht="28.95" customHeight="1" thickBot="1" x14ac:dyDescent="0.35">
      <c r="A1" s="1" t="s">
        <v>16</v>
      </c>
      <c r="B1" s="1" t="s">
        <v>17</v>
      </c>
      <c r="C1" s="1" t="s">
        <v>155</v>
      </c>
      <c r="D1" s="36" t="s">
        <v>154</v>
      </c>
      <c r="E1" s="1" t="s">
        <v>18</v>
      </c>
      <c r="F1" s="36" t="s">
        <v>106</v>
      </c>
    </row>
    <row r="2" spans="1:6" x14ac:dyDescent="0.3">
      <c r="A2" t="s">
        <v>0</v>
      </c>
      <c r="B2">
        <v>114</v>
      </c>
      <c r="C2">
        <v>110</v>
      </c>
      <c r="D2">
        <f>B2-C2</f>
        <v>4</v>
      </c>
      <c r="E2">
        <v>98</v>
      </c>
      <c r="F2">
        <f>B2-E2</f>
        <v>16</v>
      </c>
    </row>
    <row r="3" spans="1:6" x14ac:dyDescent="0.3">
      <c r="A3" t="s">
        <v>1</v>
      </c>
      <c r="B3">
        <v>67</v>
      </c>
      <c r="C3">
        <v>64</v>
      </c>
      <c r="D3">
        <f t="shared" ref="D3:D17" si="0">B3-C3</f>
        <v>3</v>
      </c>
      <c r="E3">
        <v>57</v>
      </c>
      <c r="F3">
        <f t="shared" ref="F3:F17" si="1">B3-E3</f>
        <v>10</v>
      </c>
    </row>
    <row r="4" spans="1:6" x14ac:dyDescent="0.3">
      <c r="A4" t="s">
        <v>2</v>
      </c>
      <c r="B4">
        <v>95</v>
      </c>
      <c r="C4">
        <v>92</v>
      </c>
      <c r="D4">
        <f t="shared" si="0"/>
        <v>3</v>
      </c>
      <c r="E4">
        <v>81</v>
      </c>
      <c r="F4">
        <f t="shared" si="1"/>
        <v>14</v>
      </c>
    </row>
    <row r="5" spans="1:6" x14ac:dyDescent="0.3">
      <c r="A5" t="s">
        <v>3</v>
      </c>
      <c r="B5">
        <v>50</v>
      </c>
      <c r="C5">
        <v>48</v>
      </c>
      <c r="D5">
        <f t="shared" si="0"/>
        <v>2</v>
      </c>
      <c r="E5">
        <v>43</v>
      </c>
      <c r="F5">
        <f t="shared" si="1"/>
        <v>7</v>
      </c>
    </row>
    <row r="6" spans="1:6" x14ac:dyDescent="0.3">
      <c r="A6" s="35" t="s">
        <v>4</v>
      </c>
      <c r="B6" s="35">
        <v>79</v>
      </c>
      <c r="C6" s="35">
        <v>76</v>
      </c>
      <c r="D6" s="35">
        <f t="shared" si="0"/>
        <v>3</v>
      </c>
      <c r="E6" s="35">
        <v>68</v>
      </c>
      <c r="F6" s="35">
        <f t="shared" si="1"/>
        <v>11</v>
      </c>
    </row>
    <row r="7" spans="1:6" x14ac:dyDescent="0.3">
      <c r="A7" s="35" t="s">
        <v>5</v>
      </c>
      <c r="B7" s="35">
        <v>65</v>
      </c>
      <c r="C7" s="35">
        <v>63</v>
      </c>
      <c r="D7" s="35">
        <f t="shared" si="0"/>
        <v>2</v>
      </c>
      <c r="E7" s="35">
        <v>55</v>
      </c>
      <c r="F7" s="35">
        <f t="shared" si="1"/>
        <v>10</v>
      </c>
    </row>
    <row r="8" spans="1:6" x14ac:dyDescent="0.3">
      <c r="A8" t="s">
        <v>6</v>
      </c>
      <c r="B8">
        <v>65</v>
      </c>
      <c r="C8">
        <v>63</v>
      </c>
      <c r="D8">
        <f t="shared" si="0"/>
        <v>2</v>
      </c>
      <c r="E8">
        <v>55</v>
      </c>
      <c r="F8">
        <f t="shared" si="1"/>
        <v>10</v>
      </c>
    </row>
    <row r="9" spans="1:6" x14ac:dyDescent="0.3">
      <c r="A9" s="35" t="s">
        <v>7</v>
      </c>
      <c r="B9" s="35">
        <v>42</v>
      </c>
      <c r="C9" s="35">
        <v>41</v>
      </c>
      <c r="D9" s="35">
        <f t="shared" si="0"/>
        <v>1</v>
      </c>
      <c r="E9" s="35">
        <v>36</v>
      </c>
      <c r="F9" s="35">
        <f t="shared" si="1"/>
        <v>6</v>
      </c>
    </row>
    <row r="10" spans="1:6" x14ac:dyDescent="0.3">
      <c r="A10" s="35" t="s">
        <v>8</v>
      </c>
      <c r="B10" s="35">
        <v>53</v>
      </c>
      <c r="C10" s="35">
        <v>51</v>
      </c>
      <c r="D10" s="35">
        <f t="shared" si="0"/>
        <v>2</v>
      </c>
      <c r="E10" s="35">
        <v>45</v>
      </c>
      <c r="F10" s="35">
        <f t="shared" si="1"/>
        <v>8</v>
      </c>
    </row>
    <row r="11" spans="1:6" x14ac:dyDescent="0.3">
      <c r="A11" s="35" t="s">
        <v>9</v>
      </c>
      <c r="B11" s="35">
        <v>47</v>
      </c>
      <c r="C11" s="35">
        <v>46</v>
      </c>
      <c r="D11" s="35">
        <f t="shared" si="0"/>
        <v>1</v>
      </c>
      <c r="E11" s="35">
        <v>40</v>
      </c>
      <c r="F11" s="35">
        <f t="shared" si="1"/>
        <v>7</v>
      </c>
    </row>
    <row r="12" spans="1:6" x14ac:dyDescent="0.3">
      <c r="A12" t="s">
        <v>10</v>
      </c>
      <c r="B12">
        <v>70</v>
      </c>
      <c r="C12">
        <v>67</v>
      </c>
      <c r="D12">
        <f t="shared" si="0"/>
        <v>3</v>
      </c>
      <c r="E12">
        <v>60</v>
      </c>
      <c r="F12">
        <f t="shared" si="1"/>
        <v>10</v>
      </c>
    </row>
    <row r="13" spans="1:6" x14ac:dyDescent="0.3">
      <c r="A13" t="s">
        <v>11</v>
      </c>
      <c r="B13">
        <v>60</v>
      </c>
      <c r="C13">
        <v>58</v>
      </c>
      <c r="D13">
        <f t="shared" si="0"/>
        <v>2</v>
      </c>
      <c r="E13">
        <v>51</v>
      </c>
      <c r="F13">
        <f t="shared" si="1"/>
        <v>9</v>
      </c>
    </row>
    <row r="14" spans="1:6" x14ac:dyDescent="0.3">
      <c r="A14" s="35" t="s">
        <v>12</v>
      </c>
      <c r="B14" s="35">
        <v>34</v>
      </c>
      <c r="C14" s="35">
        <v>33</v>
      </c>
      <c r="D14" s="35">
        <f t="shared" si="0"/>
        <v>1</v>
      </c>
      <c r="E14" s="35">
        <v>29</v>
      </c>
      <c r="F14" s="35">
        <f t="shared" si="1"/>
        <v>5</v>
      </c>
    </row>
    <row r="15" spans="1:6" x14ac:dyDescent="0.3">
      <c r="A15" s="35" t="s">
        <v>13</v>
      </c>
      <c r="B15" s="35">
        <v>74</v>
      </c>
      <c r="C15" s="35">
        <v>72</v>
      </c>
      <c r="D15" s="35">
        <f t="shared" si="0"/>
        <v>2</v>
      </c>
      <c r="E15" s="35">
        <v>63</v>
      </c>
      <c r="F15" s="35">
        <f t="shared" si="1"/>
        <v>11</v>
      </c>
    </row>
    <row r="16" spans="1:6" x14ac:dyDescent="0.3">
      <c r="A16" s="35" t="s">
        <v>14</v>
      </c>
      <c r="B16" s="35">
        <v>37</v>
      </c>
      <c r="C16" s="35">
        <v>35</v>
      </c>
      <c r="D16" s="35">
        <f t="shared" si="0"/>
        <v>2</v>
      </c>
      <c r="E16" s="35">
        <v>31</v>
      </c>
      <c r="F16" s="35">
        <f t="shared" si="1"/>
        <v>6</v>
      </c>
    </row>
    <row r="17" spans="1:6" x14ac:dyDescent="0.3">
      <c r="A17" s="35" t="s">
        <v>15</v>
      </c>
      <c r="B17" s="35">
        <v>90</v>
      </c>
      <c r="C17" s="35">
        <v>87</v>
      </c>
      <c r="D17" s="35">
        <f t="shared" si="0"/>
        <v>3</v>
      </c>
      <c r="E17" s="35">
        <v>77</v>
      </c>
      <c r="F17" s="35">
        <f t="shared" si="1"/>
        <v>13</v>
      </c>
    </row>
    <row r="18" spans="1:6" ht="10.95" customHeight="1" x14ac:dyDescent="0.3"/>
    <row r="19" spans="1:6" x14ac:dyDescent="0.3">
      <c r="A19" t="s">
        <v>19</v>
      </c>
      <c r="B19" s="2">
        <f>AVERAGE($B$6,$B$7,$B$9:$B$11,$B$14:$B$17)</f>
        <v>57.888888888888886</v>
      </c>
    </row>
    <row r="21" spans="1:6" ht="34.049999999999997" customHeight="1" thickBot="1" x14ac:dyDescent="0.35">
      <c r="A21" s="1" t="s">
        <v>16</v>
      </c>
      <c r="B21" s="24" t="s">
        <v>103</v>
      </c>
      <c r="C21" s="24" t="s">
        <v>108</v>
      </c>
      <c r="D21" s="24" t="s">
        <v>109</v>
      </c>
    </row>
    <row r="22" spans="1:6" x14ac:dyDescent="0.3">
      <c r="A22" t="s">
        <v>0</v>
      </c>
      <c r="B22">
        <v>114</v>
      </c>
    </row>
    <row r="23" spans="1:6" x14ac:dyDescent="0.3">
      <c r="A23" t="s">
        <v>1</v>
      </c>
      <c r="B23">
        <v>67</v>
      </c>
    </row>
    <row r="24" spans="1:6" x14ac:dyDescent="0.3">
      <c r="A24" t="s">
        <v>2</v>
      </c>
      <c r="B24">
        <v>95</v>
      </c>
    </row>
    <row r="25" spans="1:6" x14ac:dyDescent="0.3">
      <c r="A25" t="s">
        <v>3</v>
      </c>
      <c r="B25">
        <v>50</v>
      </c>
    </row>
    <row r="26" spans="1:6" x14ac:dyDescent="0.3">
      <c r="A26" s="26" t="s">
        <v>4</v>
      </c>
      <c r="B26" s="26">
        <v>79</v>
      </c>
      <c r="C26" s="28">
        <v>1.7006077014758463E-2</v>
      </c>
      <c r="D26" s="3">
        <f>B26*C26</f>
        <v>1.3434800841659187</v>
      </c>
    </row>
    <row r="27" spans="1:6" x14ac:dyDescent="0.3">
      <c r="A27" s="26" t="s">
        <v>5</v>
      </c>
      <c r="B27" s="26">
        <v>65</v>
      </c>
      <c r="C27" s="28">
        <v>0.19934962699195127</v>
      </c>
      <c r="D27" s="3">
        <f t="shared" ref="D27:D37" si="2">B27*C27</f>
        <v>12.957725754476833</v>
      </c>
    </row>
    <row r="28" spans="1:6" x14ac:dyDescent="0.3">
      <c r="A28" t="s">
        <v>6</v>
      </c>
      <c r="B28">
        <v>65</v>
      </c>
      <c r="C28" s="28"/>
      <c r="D28" s="3">
        <f t="shared" si="2"/>
        <v>0</v>
      </c>
    </row>
    <row r="29" spans="1:6" x14ac:dyDescent="0.3">
      <c r="A29" s="26" t="s">
        <v>7</v>
      </c>
      <c r="B29" s="26">
        <v>42</v>
      </c>
      <c r="C29" s="28">
        <v>0.11399552684627949</v>
      </c>
      <c r="D29" s="3">
        <f t="shared" si="2"/>
        <v>4.7878121275437389</v>
      </c>
    </row>
    <row r="30" spans="1:6" x14ac:dyDescent="0.3">
      <c r="A30" s="26" t="s">
        <v>8</v>
      </c>
      <c r="B30" s="26">
        <v>53</v>
      </c>
      <c r="C30" s="28">
        <v>0.34144950780594752</v>
      </c>
      <c r="D30" s="3">
        <f t="shared" si="2"/>
        <v>18.09682391371522</v>
      </c>
    </row>
    <row r="31" spans="1:6" x14ac:dyDescent="0.3">
      <c r="A31" s="26" t="s">
        <v>9</v>
      </c>
      <c r="B31" s="26">
        <v>47</v>
      </c>
      <c r="C31" s="28">
        <v>0.20409867423963743</v>
      </c>
      <c r="D31" s="3">
        <f t="shared" si="2"/>
        <v>9.5926376892629595</v>
      </c>
    </row>
    <row r="32" spans="1:6" x14ac:dyDescent="0.3">
      <c r="A32" t="s">
        <v>10</v>
      </c>
      <c r="B32">
        <v>70</v>
      </c>
      <c r="C32" s="28"/>
      <c r="D32" s="3">
        <f t="shared" si="2"/>
        <v>0</v>
      </c>
    </row>
    <row r="33" spans="1:4" x14ac:dyDescent="0.3">
      <c r="A33" t="s">
        <v>11</v>
      </c>
      <c r="B33">
        <v>60</v>
      </c>
      <c r="C33" s="28"/>
      <c r="D33" s="3">
        <f t="shared" si="2"/>
        <v>0</v>
      </c>
    </row>
    <row r="34" spans="1:4" x14ac:dyDescent="0.3">
      <c r="A34" s="26" t="s">
        <v>12</v>
      </c>
      <c r="B34" s="26">
        <v>34</v>
      </c>
      <c r="C34" s="28">
        <v>1.2720530892717883E-2</v>
      </c>
      <c r="D34" s="3">
        <f t="shared" si="2"/>
        <v>0.43249805035240801</v>
      </c>
    </row>
    <row r="35" spans="1:4" x14ac:dyDescent="0.3">
      <c r="A35" s="26" t="s">
        <v>13</v>
      </c>
      <c r="B35" s="26">
        <v>74</v>
      </c>
      <c r="C35" s="28">
        <v>4.8704403996409705E-2</v>
      </c>
      <c r="D35" s="3">
        <f t="shared" si="2"/>
        <v>3.6041258957343181</v>
      </c>
    </row>
    <row r="36" spans="1:4" x14ac:dyDescent="0.3">
      <c r="A36" s="26" t="s">
        <v>14</v>
      </c>
      <c r="B36" s="26">
        <v>37</v>
      </c>
      <c r="C36" s="28">
        <v>5.6624387516369681E-2</v>
      </c>
      <c r="D36" s="3">
        <f t="shared" si="2"/>
        <v>2.0951023381056784</v>
      </c>
    </row>
    <row r="37" spans="1:4" x14ac:dyDescent="0.3">
      <c r="A37" s="26" t="s">
        <v>15</v>
      </c>
      <c r="B37" s="26">
        <v>90</v>
      </c>
      <c r="C37" s="28">
        <v>6.0512646959285472E-3</v>
      </c>
      <c r="D37" s="3">
        <f t="shared" si="2"/>
        <v>0.54461382263356928</v>
      </c>
    </row>
    <row r="39" spans="1:4" x14ac:dyDescent="0.3">
      <c r="A39" t="s">
        <v>19</v>
      </c>
      <c r="B39" s="27">
        <f>AVERAGE($B$6:$B$7,$B$9:$B$11,$B$14:$B$17)</f>
        <v>57.888888888888886</v>
      </c>
      <c r="C39" s="38">
        <f>SUM(C26:C37)</f>
        <v>1</v>
      </c>
      <c r="D39" s="4">
        <f>SUM(D26:D37)</f>
        <v>53.454819675990642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0"/>
  <sheetViews>
    <sheetView tabSelected="1" workbookViewId="0">
      <selection activeCell="P8" sqref="P8"/>
    </sheetView>
  </sheetViews>
  <sheetFormatPr defaultRowHeight="14.4" x14ac:dyDescent="0.3"/>
  <cols>
    <col min="2" max="2" width="4.88671875" customWidth="1"/>
    <col min="3" max="3" width="4.6640625" customWidth="1"/>
    <col min="4" max="4" width="12" customWidth="1"/>
    <col min="5" max="5" width="10.77734375" customWidth="1"/>
    <col min="6" max="6" width="11.77734375" customWidth="1"/>
    <col min="7" max="7" width="4.44140625" customWidth="1"/>
    <col min="8" max="8" width="10.5546875" customWidth="1"/>
    <col min="9" max="9" width="11.77734375" customWidth="1"/>
    <col min="10" max="10" width="13.21875" customWidth="1"/>
    <col min="12" max="12" width="11.44140625" customWidth="1"/>
  </cols>
  <sheetData>
    <row r="1" spans="1:10" ht="61.5" customHeight="1" thickBot="1" x14ac:dyDescent="0.35">
      <c r="A1" s="1" t="s">
        <v>16</v>
      </c>
      <c r="D1" s="37" t="s">
        <v>156</v>
      </c>
      <c r="E1" s="24" t="s">
        <v>108</v>
      </c>
      <c r="F1" s="24" t="s">
        <v>157</v>
      </c>
      <c r="H1" s="37" t="s">
        <v>107</v>
      </c>
      <c r="I1" s="24" t="s">
        <v>108</v>
      </c>
      <c r="J1" s="24" t="s">
        <v>110</v>
      </c>
    </row>
    <row r="2" spans="1:10" x14ac:dyDescent="0.3">
      <c r="A2" t="s">
        <v>0</v>
      </c>
      <c r="D2">
        <f>'Statewide pool avings'!D2+'Statewide spa savings'!D2</f>
        <v>36</v>
      </c>
      <c r="H2">
        <f>'Statewide pool avings'!F2+'Statewide spa savings'!F2</f>
        <v>146</v>
      </c>
    </row>
    <row r="3" spans="1:10" x14ac:dyDescent="0.3">
      <c r="A3" t="s">
        <v>1</v>
      </c>
      <c r="D3">
        <f>'Statewide pool avings'!D3+'Statewide spa savings'!D3</f>
        <v>17</v>
      </c>
      <c r="H3">
        <f>'Statewide pool avings'!F3+'Statewide spa savings'!F3</f>
        <v>67</v>
      </c>
    </row>
    <row r="4" spans="1:10" x14ac:dyDescent="0.3">
      <c r="A4" t="s">
        <v>2</v>
      </c>
      <c r="D4">
        <f>'Statewide pool avings'!D4+'Statewide spa savings'!D4</f>
        <v>27</v>
      </c>
      <c r="H4">
        <f>'Statewide pool avings'!F4+'Statewide spa savings'!F4</f>
        <v>112</v>
      </c>
    </row>
    <row r="5" spans="1:10" x14ac:dyDescent="0.3">
      <c r="A5" t="s">
        <v>3</v>
      </c>
      <c r="D5">
        <f>'Statewide pool avings'!D5+'Statewide spa savings'!D5</f>
        <v>9</v>
      </c>
      <c r="H5">
        <f>'Statewide pool avings'!F5+'Statewide spa savings'!F5</f>
        <v>35</v>
      </c>
    </row>
    <row r="6" spans="1:10" x14ac:dyDescent="0.3">
      <c r="A6" s="25" t="s">
        <v>4</v>
      </c>
      <c r="B6" s="25"/>
      <c r="C6" s="25"/>
      <c r="D6" s="25">
        <f>'Statewide pool avings'!D6+'Statewide spa savings'!D6</f>
        <v>21</v>
      </c>
      <c r="E6" s="28">
        <v>2.41766081407792E-3</v>
      </c>
      <c r="F6" s="3">
        <f>D6*E6</f>
        <v>5.0770877095636317E-2</v>
      </c>
      <c r="G6" s="25"/>
      <c r="H6" s="25">
        <f>'Statewide pool avings'!F6+'Statewide spa savings'!F6</f>
        <v>85</v>
      </c>
      <c r="I6" s="28">
        <v>2.41766081407792E-3</v>
      </c>
      <c r="J6" s="3">
        <f>H6*I6</f>
        <v>0.2055011691966232</v>
      </c>
    </row>
    <row r="7" spans="1:10" x14ac:dyDescent="0.3">
      <c r="A7" s="25" t="s">
        <v>5</v>
      </c>
      <c r="B7" s="25"/>
      <c r="C7" s="25"/>
      <c r="D7" s="25">
        <f>'Statewide pool avings'!D7+'Statewide spa savings'!D7</f>
        <v>13</v>
      </c>
      <c r="E7" s="28">
        <v>0.18402846586430274</v>
      </c>
      <c r="F7" s="3">
        <f t="shared" ref="F7:F17" si="0">D7*E7</f>
        <v>2.3923700562359356</v>
      </c>
      <c r="G7" s="25"/>
      <c r="H7" s="25">
        <f>'Statewide pool avings'!F7+'Statewide spa savings'!F7</f>
        <v>55</v>
      </c>
      <c r="I7" s="28">
        <v>0.18402846586430274</v>
      </c>
      <c r="J7" s="3">
        <f t="shared" ref="J7:J17" si="1">H7*I7</f>
        <v>10.12156562253665</v>
      </c>
    </row>
    <row r="8" spans="1:10" x14ac:dyDescent="0.3">
      <c r="A8" t="s">
        <v>6</v>
      </c>
      <c r="D8">
        <f>'Statewide pool avings'!D8+'Statewide spa savings'!D8</f>
        <v>14</v>
      </c>
      <c r="E8" s="28"/>
      <c r="F8" s="3">
        <f t="shared" si="0"/>
        <v>0</v>
      </c>
      <c r="H8">
        <f>'Statewide pool avings'!F8+'Statewide spa savings'!F8</f>
        <v>58</v>
      </c>
      <c r="I8" s="28"/>
      <c r="J8" s="3">
        <f t="shared" si="1"/>
        <v>0</v>
      </c>
    </row>
    <row r="9" spans="1:10" x14ac:dyDescent="0.3">
      <c r="A9" s="25" t="s">
        <v>7</v>
      </c>
      <c r="B9" s="25"/>
      <c r="C9" s="25"/>
      <c r="D9" s="25">
        <f>'Statewide pool avings'!D9+'Statewide spa savings'!D9</f>
        <v>7</v>
      </c>
      <c r="E9" s="28">
        <v>0.13368475288335777</v>
      </c>
      <c r="F9" s="3">
        <f t="shared" si="0"/>
        <v>0.93579327018350433</v>
      </c>
      <c r="G9" s="25"/>
      <c r="H9" s="25">
        <f>'Statewide pool avings'!F9+'Statewide spa savings'!F9</f>
        <v>30</v>
      </c>
      <c r="I9" s="28">
        <v>0.13368475288335777</v>
      </c>
      <c r="J9" s="3">
        <f t="shared" si="1"/>
        <v>4.0105425865007334</v>
      </c>
    </row>
    <row r="10" spans="1:10" x14ac:dyDescent="0.3">
      <c r="A10" s="25" t="s">
        <v>8</v>
      </c>
      <c r="B10" s="25"/>
      <c r="C10" s="25"/>
      <c r="D10" s="25">
        <f>'Statewide pool avings'!D10+'Statewide spa savings'!D10</f>
        <v>10</v>
      </c>
      <c r="E10" s="28">
        <v>0.33928720841645421</v>
      </c>
      <c r="F10" s="3">
        <f t="shared" si="0"/>
        <v>3.3928720841645421</v>
      </c>
      <c r="G10" s="25"/>
      <c r="H10" s="25">
        <f>'Statewide pool avings'!F10+'Statewide spa savings'!F10</f>
        <v>41</v>
      </c>
      <c r="I10" s="28">
        <v>0.33928720841645421</v>
      </c>
      <c r="J10" s="3">
        <f t="shared" si="1"/>
        <v>13.910775545074623</v>
      </c>
    </row>
    <row r="11" spans="1:10" x14ac:dyDescent="0.3">
      <c r="A11" s="25" t="s">
        <v>9</v>
      </c>
      <c r="B11" s="25"/>
      <c r="C11" s="25"/>
      <c r="D11" s="25">
        <f>'Statewide pool avings'!D11+'Statewide spa savings'!D11</f>
        <v>9</v>
      </c>
      <c r="E11" s="28">
        <v>0.1828130298266242</v>
      </c>
      <c r="F11" s="3">
        <f t="shared" si="0"/>
        <v>1.6453172684396178</v>
      </c>
      <c r="G11" s="25"/>
      <c r="H11" s="25">
        <f>'Statewide pool avings'!F11+'Statewide spa savings'!F11</f>
        <v>38</v>
      </c>
      <c r="I11" s="28">
        <v>0.1828130298266242</v>
      </c>
      <c r="J11" s="3">
        <f t="shared" si="1"/>
        <v>6.9468951334117195</v>
      </c>
    </row>
    <row r="12" spans="1:10" x14ac:dyDescent="0.3">
      <c r="A12" t="s">
        <v>10</v>
      </c>
      <c r="D12">
        <f>'Statewide pool avings'!D12+'Statewide spa savings'!D12</f>
        <v>16</v>
      </c>
      <c r="E12" s="28"/>
      <c r="F12" s="3">
        <f t="shared" si="0"/>
        <v>0</v>
      </c>
      <c r="H12">
        <f>'Statewide pool avings'!F12+'Statewide spa savings'!F12</f>
        <v>67</v>
      </c>
      <c r="I12" s="28"/>
      <c r="J12" s="3">
        <f t="shared" si="1"/>
        <v>0</v>
      </c>
    </row>
    <row r="13" spans="1:10" x14ac:dyDescent="0.3">
      <c r="A13" t="s">
        <v>11</v>
      </c>
      <c r="D13">
        <f>'Statewide pool avings'!D13+'Statewide spa savings'!D13</f>
        <v>13</v>
      </c>
      <c r="E13" s="28"/>
      <c r="F13" s="3">
        <f t="shared" si="0"/>
        <v>0</v>
      </c>
      <c r="H13">
        <f>'Statewide pool avings'!F13+'Statewide spa savings'!F13</f>
        <v>53</v>
      </c>
      <c r="I13" s="28"/>
      <c r="J13" s="3">
        <f t="shared" si="1"/>
        <v>0</v>
      </c>
    </row>
    <row r="14" spans="1:10" x14ac:dyDescent="0.3">
      <c r="A14" s="25" t="s">
        <v>12</v>
      </c>
      <c r="B14" s="25"/>
      <c r="C14" s="25"/>
      <c r="D14" s="25">
        <f>'Statewide pool avings'!D14+'Statewide spa savings'!D14</f>
        <v>6</v>
      </c>
      <c r="E14" s="28">
        <v>2.7836127515093866E-2</v>
      </c>
      <c r="F14" s="3">
        <f t="shared" si="0"/>
        <v>0.16701676509056318</v>
      </c>
      <c r="G14" s="25"/>
      <c r="H14" s="25">
        <f>'Statewide pool avings'!F14+'Statewide spa savings'!F14</f>
        <v>27</v>
      </c>
      <c r="I14" s="28">
        <v>2.7836127515093866E-2</v>
      </c>
      <c r="J14" s="3">
        <f t="shared" si="1"/>
        <v>0.75157544290753442</v>
      </c>
    </row>
    <row r="15" spans="1:10" x14ac:dyDescent="0.3">
      <c r="A15" s="25" t="s">
        <v>13</v>
      </c>
      <c r="B15" s="25"/>
      <c r="C15" s="25"/>
      <c r="D15" s="25">
        <f>'Statewide pool avings'!D15+'Statewide spa savings'!D15</f>
        <v>20</v>
      </c>
      <c r="E15" s="28">
        <v>4.9352868385011385E-2</v>
      </c>
      <c r="F15" s="3">
        <f t="shared" si="0"/>
        <v>0.98705736770022767</v>
      </c>
      <c r="G15" s="25"/>
      <c r="H15" s="25">
        <f>'Statewide pool avings'!F15+'Statewide spa savings'!F15</f>
        <v>83</v>
      </c>
      <c r="I15" s="28">
        <v>4.9352868385011385E-2</v>
      </c>
      <c r="J15" s="3">
        <f t="shared" si="1"/>
        <v>4.096288075955945</v>
      </c>
    </row>
    <row r="16" spans="1:10" x14ac:dyDescent="0.3">
      <c r="A16" s="25" t="s">
        <v>14</v>
      </c>
      <c r="B16" s="25"/>
      <c r="C16" s="25"/>
      <c r="D16" s="25">
        <f>'Statewide pool avings'!D16+'Statewide spa savings'!D16</f>
        <v>6</v>
      </c>
      <c r="E16" s="28">
        <v>6.6421817957627083E-2</v>
      </c>
      <c r="F16" s="3">
        <f t="shared" si="0"/>
        <v>0.3985309077457625</v>
      </c>
      <c r="G16" s="25"/>
      <c r="H16" s="25">
        <f>'Statewide pool avings'!F16+'Statewide spa savings'!F16</f>
        <v>24</v>
      </c>
      <c r="I16" s="28">
        <v>6.6421817957627083E-2</v>
      </c>
      <c r="J16" s="3">
        <f t="shared" si="1"/>
        <v>1.59412363098305</v>
      </c>
    </row>
    <row r="17" spans="1:10" x14ac:dyDescent="0.3">
      <c r="A17" s="25" t="s">
        <v>15</v>
      </c>
      <c r="B17" s="25"/>
      <c r="C17" s="25"/>
      <c r="D17" s="25">
        <f>'Statewide pool avings'!D17+'Statewide spa savings'!D17</f>
        <v>27</v>
      </c>
      <c r="E17" s="28">
        <v>1.4158068337450843E-2</v>
      </c>
      <c r="F17" s="3">
        <f t="shared" si="0"/>
        <v>0.38226784511117273</v>
      </c>
      <c r="G17" s="25"/>
      <c r="H17" s="25">
        <f>'Statewide pool avings'!F17+'Statewide spa savings'!F17</f>
        <v>114</v>
      </c>
      <c r="I17" s="28">
        <v>1.4158068337450843E-2</v>
      </c>
      <c r="J17" s="3">
        <f t="shared" si="1"/>
        <v>1.614019790469396</v>
      </c>
    </row>
    <row r="19" spans="1:10" x14ac:dyDescent="0.3">
      <c r="A19" s="6" t="s">
        <v>19</v>
      </c>
      <c r="B19" s="2"/>
      <c r="D19" s="39">
        <f>AVERAGE($D$6:$D$7,$D$9:$D$11,$D$14:$D$17)</f>
        <v>13.222222222222221</v>
      </c>
      <c r="E19" s="38">
        <f>SUM(E6:E17)</f>
        <v>1.0000000000000002</v>
      </c>
      <c r="F19" s="5">
        <f>SUM(F6:F17)</f>
        <v>10.351996441766962</v>
      </c>
      <c r="H19" s="39">
        <f>AVERAGE($H$6:$H$7,$H$9:$H$11,$H$14:$H$17)</f>
        <v>55.222222222222221</v>
      </c>
      <c r="I19" s="38">
        <f>SUM(I6:I17)</f>
        <v>1.0000000000000002</v>
      </c>
      <c r="J19" s="5">
        <f>SUM(J6:J17)</f>
        <v>43.251286997036281</v>
      </c>
    </row>
    <row r="20" spans="1:10" x14ac:dyDescent="0.3">
      <c r="I20" s="3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7" workbookViewId="0">
      <selection activeCell="G21" sqref="G21"/>
    </sheetView>
  </sheetViews>
  <sheetFormatPr defaultRowHeight="14.4" x14ac:dyDescent="0.3"/>
  <cols>
    <col min="1" max="1" width="9.6640625" customWidth="1"/>
    <col min="2" max="2" width="12.77734375" customWidth="1"/>
    <col min="3" max="3" width="11" customWidth="1"/>
    <col min="5" max="5" width="12.44140625" bestFit="1" customWidth="1"/>
    <col min="9" max="9" width="8.21875" customWidth="1"/>
    <col min="10" max="10" width="7" customWidth="1"/>
    <col min="11" max="11" width="7.44140625" customWidth="1"/>
    <col min="12" max="12" width="6.88671875" customWidth="1"/>
    <col min="13" max="13" width="7.44140625" customWidth="1"/>
    <col min="14" max="14" width="8.21875" customWidth="1"/>
  </cols>
  <sheetData>
    <row r="1" spans="1:16" x14ac:dyDescent="0.3">
      <c r="A1" t="s">
        <v>20</v>
      </c>
    </row>
    <row r="2" spans="1:16" ht="4.5" customHeight="1" x14ac:dyDescent="0.3"/>
    <row r="3" spans="1:16" x14ac:dyDescent="0.3">
      <c r="A3" t="s">
        <v>21</v>
      </c>
    </row>
    <row r="4" spans="1:16" x14ac:dyDescent="0.3">
      <c r="A4" t="s">
        <v>22</v>
      </c>
    </row>
    <row r="5" spans="1:16" x14ac:dyDescent="0.3">
      <c r="A5" t="s">
        <v>105</v>
      </c>
    </row>
    <row r="6" spans="1:16" x14ac:dyDescent="0.3">
      <c r="A6" t="s">
        <v>23</v>
      </c>
    </row>
    <row r="7" spans="1:16" x14ac:dyDescent="0.3">
      <c r="A7" t="s">
        <v>24</v>
      </c>
    </row>
    <row r="8" spans="1:16" x14ac:dyDescent="0.3">
      <c r="A8" t="s">
        <v>25</v>
      </c>
    </row>
    <row r="10" spans="1:16" x14ac:dyDescent="0.3">
      <c r="A10" t="s">
        <v>26</v>
      </c>
    </row>
    <row r="12" spans="1:16" x14ac:dyDescent="0.3">
      <c r="A12" t="s">
        <v>27</v>
      </c>
    </row>
    <row r="13" spans="1:16" ht="33.450000000000003" customHeight="1" x14ac:dyDescent="0.3">
      <c r="A13" t="s">
        <v>28</v>
      </c>
      <c r="B13" s="30" t="s">
        <v>29</v>
      </c>
      <c r="C13" s="32" t="s">
        <v>30</v>
      </c>
      <c r="E13" s="34" t="s">
        <v>31</v>
      </c>
      <c r="I13" s="31" t="s">
        <v>32</v>
      </c>
      <c r="J13" s="31" t="s">
        <v>33</v>
      </c>
      <c r="K13" s="31" t="s">
        <v>34</v>
      </c>
      <c r="L13" s="31" t="s">
        <v>35</v>
      </c>
      <c r="M13" s="31" t="s">
        <v>36</v>
      </c>
      <c r="N13" s="31" t="s">
        <v>37</v>
      </c>
      <c r="O13" s="31" t="s">
        <v>38</v>
      </c>
      <c r="P13" s="31" t="s">
        <v>39</v>
      </c>
    </row>
    <row r="14" spans="1:16" x14ac:dyDescent="0.3">
      <c r="A14" s="33" t="s">
        <v>40</v>
      </c>
      <c r="B14" s="9">
        <v>5</v>
      </c>
      <c r="C14" s="10" t="s">
        <v>41</v>
      </c>
      <c r="D14" s="11"/>
      <c r="E14" s="12">
        <v>549</v>
      </c>
      <c r="F14" s="13">
        <f t="shared" ref="F14:F22" si="0">E14/$E$25</f>
        <v>2.41766081407792E-3</v>
      </c>
      <c r="G14" s="14"/>
      <c r="H14" s="15"/>
      <c r="I14" s="16"/>
      <c r="J14" s="16"/>
      <c r="K14" s="16" t="s">
        <v>42</v>
      </c>
      <c r="L14" s="16"/>
      <c r="M14" s="16"/>
      <c r="N14" s="16" t="s">
        <v>43</v>
      </c>
      <c r="O14" s="17">
        <v>54947</v>
      </c>
      <c r="P14" s="17">
        <v>58021</v>
      </c>
    </row>
    <row r="15" spans="1:16" x14ac:dyDescent="0.3">
      <c r="B15" s="9">
        <v>6</v>
      </c>
      <c r="C15" s="18">
        <v>31655</v>
      </c>
      <c r="D15" s="19"/>
      <c r="E15" s="20">
        <v>41789</v>
      </c>
      <c r="F15" s="13">
        <f t="shared" si="0"/>
        <v>0.18402846586430274</v>
      </c>
      <c r="G15" s="14"/>
      <c r="H15" s="21"/>
      <c r="I15" s="8" t="s">
        <v>44</v>
      </c>
      <c r="J15" s="8" t="s">
        <v>45</v>
      </c>
      <c r="K15" s="8" t="s">
        <v>46</v>
      </c>
      <c r="L15" s="8"/>
      <c r="M15" s="8" t="s">
        <v>47</v>
      </c>
      <c r="N15" s="22">
        <v>18859</v>
      </c>
      <c r="O15" s="22">
        <v>336487</v>
      </c>
      <c r="P15" s="22">
        <v>438549</v>
      </c>
    </row>
    <row r="16" spans="1:16" x14ac:dyDescent="0.3">
      <c r="B16" s="9">
        <v>8</v>
      </c>
      <c r="C16" s="18">
        <v>38673</v>
      </c>
      <c r="D16" s="19"/>
      <c r="E16" s="20">
        <v>30357</v>
      </c>
      <c r="F16" s="13">
        <f t="shared" si="0"/>
        <v>0.13368475288335777</v>
      </c>
      <c r="G16" s="14"/>
      <c r="H16" s="21"/>
      <c r="I16" s="8" t="s">
        <v>45</v>
      </c>
      <c r="J16" s="8" t="s">
        <v>48</v>
      </c>
      <c r="K16" s="8" t="s">
        <v>49</v>
      </c>
      <c r="L16" s="8"/>
      <c r="M16" s="8" t="s">
        <v>50</v>
      </c>
      <c r="N16" s="22">
        <v>23837</v>
      </c>
      <c r="O16" s="22">
        <v>437387</v>
      </c>
      <c r="P16" s="22">
        <v>532031</v>
      </c>
    </row>
    <row r="17" spans="1:16" x14ac:dyDescent="0.3">
      <c r="B17" s="9">
        <v>9</v>
      </c>
      <c r="C17" s="18">
        <v>67963</v>
      </c>
      <c r="D17" s="19"/>
      <c r="E17" s="20">
        <v>77045</v>
      </c>
      <c r="F17" s="13">
        <f t="shared" si="0"/>
        <v>0.33928720841645421</v>
      </c>
      <c r="G17" s="14"/>
      <c r="H17" s="21"/>
      <c r="I17" s="8" t="s">
        <v>51</v>
      </c>
      <c r="J17" s="8" t="s">
        <v>52</v>
      </c>
      <c r="K17" s="22">
        <v>10619</v>
      </c>
      <c r="L17" s="8"/>
      <c r="M17" s="8" t="s">
        <v>53</v>
      </c>
      <c r="N17" s="22">
        <v>22266</v>
      </c>
      <c r="O17" s="22">
        <v>616483</v>
      </c>
      <c r="P17" s="22">
        <v>799996</v>
      </c>
    </row>
    <row r="18" spans="1:16" x14ac:dyDescent="0.3">
      <c r="B18" s="9">
        <v>10</v>
      </c>
      <c r="C18" s="18">
        <v>37450</v>
      </c>
      <c r="D18" s="19"/>
      <c r="E18" s="20">
        <v>41513</v>
      </c>
      <c r="F18" s="13">
        <f t="shared" si="0"/>
        <v>0.1828130298266242</v>
      </c>
      <c r="G18" s="14"/>
      <c r="H18" s="21"/>
      <c r="I18" s="8" t="s">
        <v>54</v>
      </c>
      <c r="J18" s="8" t="s">
        <v>55</v>
      </c>
      <c r="K18" s="8" t="s">
        <v>56</v>
      </c>
      <c r="L18" s="8" t="s">
        <v>57</v>
      </c>
      <c r="M18" s="8" t="s">
        <v>58</v>
      </c>
      <c r="N18" s="22">
        <v>16635</v>
      </c>
      <c r="O18" s="22">
        <v>338285</v>
      </c>
      <c r="P18" s="22">
        <v>437652</v>
      </c>
    </row>
    <row r="19" spans="1:16" x14ac:dyDescent="0.3">
      <c r="B19" s="9">
        <v>13</v>
      </c>
      <c r="C19" s="18">
        <v>25327</v>
      </c>
      <c r="D19" s="19"/>
      <c r="E19" s="20">
        <v>6321</v>
      </c>
      <c r="F19" s="13">
        <f t="shared" si="0"/>
        <v>2.7836127515093866E-2</v>
      </c>
      <c r="G19" s="14"/>
      <c r="I19" s="8" t="s">
        <v>59</v>
      </c>
      <c r="J19" s="8"/>
      <c r="K19" s="8" t="s">
        <v>60</v>
      </c>
      <c r="L19" s="8"/>
      <c r="M19" s="8"/>
      <c r="N19" s="8" t="s">
        <v>61</v>
      </c>
      <c r="O19" s="22">
        <v>77171</v>
      </c>
      <c r="P19" s="22">
        <v>115381</v>
      </c>
    </row>
    <row r="20" spans="1:16" x14ac:dyDescent="0.3">
      <c r="B20" s="9">
        <v>14</v>
      </c>
      <c r="C20" s="7" t="s">
        <v>62</v>
      </c>
      <c r="D20" s="6"/>
      <c r="E20" s="20">
        <v>11207</v>
      </c>
      <c r="F20" s="13">
        <f t="shared" si="0"/>
        <v>4.9352868385011385E-2</v>
      </c>
      <c r="G20" s="14"/>
      <c r="I20" s="8" t="s">
        <v>63</v>
      </c>
      <c r="J20" s="8"/>
      <c r="K20" s="8" t="s">
        <v>64</v>
      </c>
      <c r="L20" s="8"/>
      <c r="M20" s="8" t="s">
        <v>65</v>
      </c>
      <c r="N20" s="8" t="s">
        <v>66</v>
      </c>
      <c r="O20" s="22">
        <v>66662</v>
      </c>
      <c r="P20" s="22">
        <v>97913</v>
      </c>
    </row>
    <row r="21" spans="1:16" x14ac:dyDescent="0.3">
      <c r="B21" s="9">
        <v>15</v>
      </c>
      <c r="C21" s="18">
        <v>6439</v>
      </c>
      <c r="D21" s="19"/>
      <c r="E21" s="20">
        <v>15083</v>
      </c>
      <c r="F21" s="13">
        <f t="shared" si="0"/>
        <v>6.6421817957627083E-2</v>
      </c>
      <c r="G21" s="14"/>
      <c r="H21" s="21"/>
      <c r="I21" s="8" t="s">
        <v>67</v>
      </c>
      <c r="J21" s="8" t="s">
        <v>68</v>
      </c>
      <c r="K21" s="8" t="s">
        <v>69</v>
      </c>
      <c r="L21" s="8"/>
      <c r="M21" s="8" t="s">
        <v>70</v>
      </c>
      <c r="N21" s="8" t="s">
        <v>71</v>
      </c>
      <c r="O21" s="22">
        <v>25868</v>
      </c>
      <c r="P21" s="22">
        <v>48812</v>
      </c>
    </row>
    <row r="22" spans="1:16" x14ac:dyDescent="0.3">
      <c r="B22" s="9">
        <v>16</v>
      </c>
      <c r="C22" s="7" t="s">
        <v>72</v>
      </c>
      <c r="D22" s="6"/>
      <c r="E22" s="20">
        <v>3215</v>
      </c>
      <c r="F22" s="13">
        <f t="shared" si="0"/>
        <v>1.4158068337450843E-2</v>
      </c>
      <c r="G22" s="14"/>
      <c r="I22" s="8" t="s">
        <v>73</v>
      </c>
      <c r="J22" s="8" t="s">
        <v>74</v>
      </c>
      <c r="K22" s="8" t="s">
        <v>75</v>
      </c>
      <c r="L22" s="8"/>
      <c r="M22" s="8" t="s">
        <v>76</v>
      </c>
      <c r="N22" s="8" t="s">
        <v>77</v>
      </c>
      <c r="O22" s="22">
        <v>47208</v>
      </c>
      <c r="P22" s="22">
        <v>68320</v>
      </c>
    </row>
    <row r="23" spans="1:16" x14ac:dyDescent="0.3">
      <c r="A23" t="s">
        <v>78</v>
      </c>
      <c r="C23" s="18">
        <v>219585</v>
      </c>
      <c r="D23" s="21"/>
      <c r="E23" s="29">
        <v>227079</v>
      </c>
      <c r="F23" s="14"/>
      <c r="G23" s="14"/>
      <c r="H23" s="21"/>
      <c r="I23" s="22">
        <v>13952</v>
      </c>
      <c r="J23" s="22">
        <v>1283</v>
      </c>
      <c r="K23" s="22">
        <v>23195</v>
      </c>
      <c r="L23" s="8">
        <v>142</v>
      </c>
      <c r="M23" s="22">
        <v>3170</v>
      </c>
      <c r="N23" s="22">
        <v>107768</v>
      </c>
      <c r="O23" s="22">
        <v>2000499</v>
      </c>
      <c r="P23" s="22">
        <v>2596673</v>
      </c>
    </row>
    <row r="24" spans="1:16" x14ac:dyDescent="0.3">
      <c r="D24" s="21"/>
      <c r="E24" s="23"/>
      <c r="F24" s="14"/>
      <c r="G24" s="14"/>
      <c r="H24" s="21"/>
      <c r="I24" s="22"/>
      <c r="J24" s="22"/>
      <c r="K24" s="22"/>
      <c r="L24" s="8"/>
      <c r="M24" s="22"/>
      <c r="N24" s="22"/>
      <c r="O24" s="22"/>
      <c r="P24" s="22"/>
    </row>
    <row r="25" spans="1:16" x14ac:dyDescent="0.3">
      <c r="E25" s="23">
        <f>SUM(E14,E15,E16,E17,E18,E19,E20,E21,E22)</f>
        <v>227079</v>
      </c>
      <c r="F25" s="14">
        <f>E25/$E$25</f>
        <v>1</v>
      </c>
      <c r="G25" s="1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F3" sqref="F3"/>
    </sheetView>
  </sheetViews>
  <sheetFormatPr defaultRowHeight="14.4" x14ac:dyDescent="0.3"/>
  <cols>
    <col min="1" max="1" width="9.77734375" customWidth="1"/>
    <col min="2" max="2" width="13.5546875" customWidth="1"/>
    <col min="3" max="3" width="11.21875" customWidth="1"/>
    <col min="5" max="5" width="12.44140625" bestFit="1" customWidth="1"/>
    <col min="9" max="9" width="8.88671875" customWidth="1"/>
    <col min="10" max="10" width="7.44140625" customWidth="1"/>
  </cols>
  <sheetData>
    <row r="1" spans="1:15" x14ac:dyDescent="0.3">
      <c r="A1" t="s">
        <v>20</v>
      </c>
    </row>
    <row r="2" spans="1:15" ht="6.45" customHeight="1" x14ac:dyDescent="0.3"/>
    <row r="3" spans="1:15" x14ac:dyDescent="0.3">
      <c r="A3" t="s">
        <v>21</v>
      </c>
    </row>
    <row r="4" spans="1:15" x14ac:dyDescent="0.3">
      <c r="A4" t="s">
        <v>22</v>
      </c>
    </row>
    <row r="5" spans="1:15" x14ac:dyDescent="0.3">
      <c r="A5" t="s">
        <v>104</v>
      </c>
    </row>
    <row r="6" spans="1:15" x14ac:dyDescent="0.3">
      <c r="A6" t="s">
        <v>79</v>
      </c>
    </row>
    <row r="7" spans="1:15" x14ac:dyDescent="0.3">
      <c r="A7" t="s">
        <v>24</v>
      </c>
    </row>
    <row r="8" spans="1:15" x14ac:dyDescent="0.3">
      <c r="A8" t="s">
        <v>25</v>
      </c>
    </row>
    <row r="10" spans="1:15" x14ac:dyDescent="0.3">
      <c r="A10" t="s">
        <v>26</v>
      </c>
    </row>
    <row r="12" spans="1:15" x14ac:dyDescent="0.3">
      <c r="A12" t="s">
        <v>80</v>
      </c>
    </row>
    <row r="13" spans="1:15" ht="36.450000000000003" customHeight="1" x14ac:dyDescent="0.3">
      <c r="A13" t="s">
        <v>28</v>
      </c>
      <c r="B13" s="30" t="s">
        <v>29</v>
      </c>
      <c r="C13" s="32" t="s">
        <v>32</v>
      </c>
      <c r="E13" s="34" t="s">
        <v>31</v>
      </c>
      <c r="I13" s="31" t="s">
        <v>81</v>
      </c>
      <c r="J13" s="31" t="s">
        <v>82</v>
      </c>
      <c r="K13" s="31" t="s">
        <v>35</v>
      </c>
      <c r="L13" s="31" t="s">
        <v>36</v>
      </c>
      <c r="M13" s="31" t="s">
        <v>37</v>
      </c>
      <c r="N13" s="31" t="s">
        <v>38</v>
      </c>
      <c r="O13" s="31" t="s">
        <v>39</v>
      </c>
    </row>
    <row r="14" spans="1:15" x14ac:dyDescent="0.3">
      <c r="A14" s="33" t="s">
        <v>40</v>
      </c>
      <c r="B14" s="9">
        <v>5</v>
      </c>
      <c r="C14" s="10">
        <v>10400</v>
      </c>
      <c r="D14" s="11"/>
      <c r="E14" s="12">
        <v>4623</v>
      </c>
      <c r="F14" s="13">
        <f t="shared" ref="F14:F22" si="0">E14/$E$25</f>
        <v>1.7006077014758463E-2</v>
      </c>
      <c r="I14" s="8"/>
      <c r="J14" s="8" t="s">
        <v>83</v>
      </c>
      <c r="K14" s="8"/>
      <c r="L14" s="8"/>
      <c r="M14" s="8" t="s">
        <v>84</v>
      </c>
      <c r="N14" s="22">
        <v>42166</v>
      </c>
      <c r="O14" s="22">
        <v>58020</v>
      </c>
    </row>
    <row r="15" spans="1:15" x14ac:dyDescent="0.3">
      <c r="B15" s="9">
        <v>6</v>
      </c>
      <c r="C15" s="18">
        <v>30420</v>
      </c>
      <c r="D15" s="19"/>
      <c r="E15" s="20">
        <v>54192</v>
      </c>
      <c r="F15" s="13">
        <f t="shared" si="0"/>
        <v>0.19934962699195127</v>
      </c>
      <c r="G15" s="21"/>
      <c r="H15" s="21"/>
      <c r="I15" s="8" t="s">
        <v>85</v>
      </c>
      <c r="J15" s="8" t="s">
        <v>86</v>
      </c>
      <c r="K15" s="8"/>
      <c r="L15" s="8"/>
      <c r="M15" s="22">
        <v>16696</v>
      </c>
      <c r="N15" s="22">
        <v>332667</v>
      </c>
      <c r="O15" s="22">
        <v>438548</v>
      </c>
    </row>
    <row r="16" spans="1:15" x14ac:dyDescent="0.3">
      <c r="B16" s="9">
        <v>8</v>
      </c>
      <c r="C16" s="18">
        <v>34448</v>
      </c>
      <c r="D16" s="19"/>
      <c r="E16" s="20">
        <v>30989</v>
      </c>
      <c r="F16" s="13">
        <f t="shared" si="0"/>
        <v>0.11399552684627949</v>
      </c>
      <c r="G16" s="21"/>
      <c r="H16" s="21"/>
      <c r="I16" s="8" t="s">
        <v>87</v>
      </c>
      <c r="J16" s="8" t="s">
        <v>88</v>
      </c>
      <c r="K16" s="8"/>
      <c r="L16" s="8" t="s">
        <v>69</v>
      </c>
      <c r="M16" s="22">
        <v>24006</v>
      </c>
      <c r="N16" s="22">
        <v>440966</v>
      </c>
      <c r="O16" s="22">
        <v>532032</v>
      </c>
    </row>
    <row r="17" spans="1:15" x14ac:dyDescent="0.3">
      <c r="B17" s="9">
        <v>9</v>
      </c>
      <c r="C17" s="18">
        <v>33975</v>
      </c>
      <c r="D17" s="19"/>
      <c r="E17" s="20">
        <v>92821</v>
      </c>
      <c r="F17" s="13">
        <f t="shared" si="0"/>
        <v>0.34144950780594752</v>
      </c>
      <c r="G17" s="21"/>
      <c r="H17" s="21"/>
      <c r="I17" s="8" t="s">
        <v>89</v>
      </c>
      <c r="J17" s="8" t="s">
        <v>90</v>
      </c>
      <c r="K17" s="8"/>
      <c r="L17" s="8" t="s">
        <v>91</v>
      </c>
      <c r="M17" s="22">
        <v>13808</v>
      </c>
      <c r="N17" s="22">
        <v>653928</v>
      </c>
      <c r="O17" s="22">
        <v>799995</v>
      </c>
    </row>
    <row r="18" spans="1:15" x14ac:dyDescent="0.3">
      <c r="B18" s="9">
        <v>10</v>
      </c>
      <c r="C18" s="18">
        <v>18422</v>
      </c>
      <c r="D18" s="19"/>
      <c r="E18" s="20">
        <v>55483</v>
      </c>
      <c r="F18" s="13">
        <f t="shared" si="0"/>
        <v>0.20409867423963743</v>
      </c>
      <c r="G18" s="21"/>
      <c r="H18" s="21"/>
      <c r="I18" s="8"/>
      <c r="J18" s="8" t="s">
        <v>92</v>
      </c>
      <c r="K18" s="8" t="s">
        <v>57</v>
      </c>
      <c r="L18" s="8"/>
      <c r="M18" s="22">
        <v>11637</v>
      </c>
      <c r="N18" s="22">
        <v>351352</v>
      </c>
      <c r="O18" s="22">
        <v>437652</v>
      </c>
    </row>
    <row r="19" spans="1:15" x14ac:dyDescent="0.3">
      <c r="B19" s="9">
        <v>13</v>
      </c>
      <c r="C19" s="18" t="s">
        <v>93</v>
      </c>
      <c r="D19" s="19"/>
      <c r="E19" s="20">
        <v>3458</v>
      </c>
      <c r="F19" s="13">
        <f t="shared" si="0"/>
        <v>1.2720530892717883E-2</v>
      </c>
      <c r="I19" s="8"/>
      <c r="J19" s="8"/>
      <c r="K19" s="8"/>
      <c r="L19" s="8"/>
      <c r="M19" s="8" t="s">
        <v>94</v>
      </c>
      <c r="N19" s="22">
        <v>107060</v>
      </c>
      <c r="O19" s="22">
        <v>115380</v>
      </c>
    </row>
    <row r="20" spans="1:15" x14ac:dyDescent="0.3">
      <c r="B20" s="9">
        <v>14</v>
      </c>
      <c r="C20" s="7" t="s">
        <v>95</v>
      </c>
      <c r="D20" s="6"/>
      <c r="E20" s="20">
        <v>13240</v>
      </c>
      <c r="F20" s="13">
        <f t="shared" si="0"/>
        <v>4.8704403996409705E-2</v>
      </c>
      <c r="I20" s="8"/>
      <c r="J20" s="8" t="s">
        <v>96</v>
      </c>
      <c r="K20" s="8"/>
      <c r="L20" s="8"/>
      <c r="M20" s="8" t="s">
        <v>97</v>
      </c>
      <c r="N20" s="22">
        <v>71568</v>
      </c>
      <c r="O20" s="22">
        <v>97913</v>
      </c>
    </row>
    <row r="21" spans="1:15" x14ac:dyDescent="0.3">
      <c r="B21" s="9">
        <v>15</v>
      </c>
      <c r="C21" s="18" t="s">
        <v>98</v>
      </c>
      <c r="D21" s="19"/>
      <c r="E21" s="20">
        <v>15393</v>
      </c>
      <c r="F21" s="13">
        <f t="shared" si="0"/>
        <v>5.6624387516369681E-2</v>
      </c>
      <c r="G21" s="21"/>
      <c r="H21" s="21"/>
      <c r="I21" s="8" t="s">
        <v>99</v>
      </c>
      <c r="J21" s="8" t="s">
        <v>99</v>
      </c>
      <c r="K21" s="8"/>
      <c r="L21" s="8"/>
      <c r="M21" s="8" t="s">
        <v>100</v>
      </c>
      <c r="N21" s="22">
        <v>29258</v>
      </c>
      <c r="O21" s="22">
        <v>48812</v>
      </c>
    </row>
    <row r="22" spans="1:15" x14ac:dyDescent="0.3">
      <c r="B22" s="9">
        <v>16</v>
      </c>
      <c r="C22" s="7">
        <v>7500</v>
      </c>
      <c r="D22" s="6"/>
      <c r="E22" s="20">
        <v>1645</v>
      </c>
      <c r="F22" s="13">
        <f t="shared" si="0"/>
        <v>6.0512646959285472E-3</v>
      </c>
      <c r="I22" s="8"/>
      <c r="J22" s="8" t="s">
        <v>76</v>
      </c>
      <c r="K22" s="8"/>
      <c r="L22" s="8" t="s">
        <v>101</v>
      </c>
      <c r="M22" s="8" t="s">
        <v>102</v>
      </c>
      <c r="N22" s="22">
        <v>56746</v>
      </c>
      <c r="O22" s="22">
        <v>68318</v>
      </c>
    </row>
    <row r="23" spans="1:15" x14ac:dyDescent="0.3">
      <c r="A23" t="s">
        <v>78</v>
      </c>
      <c r="C23" s="18">
        <v>153487</v>
      </c>
      <c r="D23" s="21"/>
      <c r="E23" s="21">
        <v>271844</v>
      </c>
      <c r="F23" s="21"/>
      <c r="G23" s="21"/>
      <c r="H23" s="21"/>
      <c r="I23" s="22">
        <v>1501</v>
      </c>
      <c r="J23" s="22">
        <v>10867</v>
      </c>
      <c r="K23" s="8">
        <v>142</v>
      </c>
      <c r="L23" s="22">
        <v>1278</v>
      </c>
      <c r="M23" s="22">
        <v>71842</v>
      </c>
      <c r="N23" s="22">
        <v>2085711</v>
      </c>
      <c r="O23" s="22">
        <v>2596672</v>
      </c>
    </row>
    <row r="24" spans="1:15" x14ac:dyDescent="0.3">
      <c r="D24" s="21"/>
      <c r="E24" s="21"/>
      <c r="F24" s="21"/>
      <c r="G24" s="21"/>
      <c r="H24" s="21"/>
      <c r="I24" s="22"/>
      <c r="J24" s="22"/>
      <c r="K24" s="8"/>
      <c r="L24" s="22"/>
      <c r="M24" s="22"/>
      <c r="N24" s="22"/>
      <c r="O24" s="22"/>
    </row>
    <row r="25" spans="1:15" x14ac:dyDescent="0.3">
      <c r="E25" s="23">
        <f>SUM(E14,E15,E16,E17,E18,E19,E20,E21,E22)</f>
        <v>271844</v>
      </c>
      <c r="F25" s="14">
        <f>E25/$E$25</f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"/>
  <sheetViews>
    <sheetView workbookViewId="0">
      <selection activeCell="O21" sqref="O21"/>
    </sheetView>
  </sheetViews>
  <sheetFormatPr defaultRowHeight="14.4" x14ac:dyDescent="0.3"/>
  <sheetData>
    <row r="2" spans="2:8" ht="18" x14ac:dyDescent="0.35">
      <c r="B2" s="65" t="s">
        <v>153</v>
      </c>
      <c r="C2" s="66"/>
      <c r="D2" s="66"/>
      <c r="E2" s="66"/>
      <c r="F2" s="66"/>
      <c r="G2" s="66"/>
      <c r="H2" s="66"/>
    </row>
    <row r="3" spans="2:8" x14ac:dyDescent="0.3">
      <c r="B3" s="15"/>
      <c r="C3" s="15"/>
      <c r="D3" s="15"/>
      <c r="E3" s="15"/>
      <c r="F3" s="15"/>
      <c r="G3" s="15"/>
      <c r="H3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CEE report</vt:lpstr>
      <vt:lpstr>85% TE</vt:lpstr>
      <vt:lpstr>96% TE</vt:lpstr>
      <vt:lpstr>Statewide pool avings</vt:lpstr>
      <vt:lpstr>Statewide spa savings</vt:lpstr>
      <vt:lpstr>Total savings</vt:lpstr>
      <vt:lpstr>RASS_Pool wt ave by SoCal zones</vt:lpstr>
      <vt:lpstr>RASS_Spa wt ave by SoCal zones</vt:lpstr>
      <vt:lpstr>pool &amp; spa sizing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Bashar, Raad</dc:creator>
  <cp:lastModifiedBy>Bashar, Raad</cp:lastModifiedBy>
  <dcterms:created xsi:type="dcterms:W3CDTF">2017-04-13T20:44:37Z</dcterms:created>
  <dcterms:modified xsi:type="dcterms:W3CDTF">2017-05-30T22:26:22Z</dcterms:modified>
</cp:coreProperties>
</file>